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20736" windowHeight="11388" firstSheet="3" activeTab="3"/>
  </bookViews>
  <sheets>
    <sheet name="нормы" sheetId="1" state="hidden" r:id="rId1"/>
    <sheet name="расчет сентябрь" sheetId="2" state="hidden" r:id="rId2"/>
    <sheet name="расчет весна" sheetId="4" state="hidden" r:id="rId3"/>
    <sheet name="меню 1-4 класс" sheetId="3" r:id="rId4"/>
    <sheet name="меню 5-11класс" sheetId="5" r:id="rId5"/>
  </sheets>
  <definedNames>
    <definedName name="_GoBack" localSheetId="0">нормы!#REF!</definedName>
    <definedName name="_Hlk99779280" localSheetId="0">нормы!$M$3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F357" i="3"/>
  <c r="F366" i="3"/>
  <c r="F356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E337" i="3"/>
  <c r="F337" i="3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E333" i="5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E153" i="3"/>
  <c r="E51" i="3"/>
  <c r="E49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E150" i="5"/>
  <c r="T348" i="5"/>
  <c r="T349" i="5" s="1"/>
  <c r="S348" i="5"/>
  <c r="R348" i="5"/>
  <c r="R349" i="5" s="1"/>
  <c r="Q348" i="5"/>
  <c r="P348" i="5"/>
  <c r="P349" i="5" s="1"/>
  <c r="O348" i="5"/>
  <c r="N348" i="5"/>
  <c r="N349" i="5" s="1"/>
  <c r="M348" i="5"/>
  <c r="L348" i="5"/>
  <c r="L349" i="5" s="1"/>
  <c r="K348" i="5"/>
  <c r="J348" i="5"/>
  <c r="J349" i="5" s="1"/>
  <c r="I348" i="5"/>
  <c r="H348" i="5"/>
  <c r="H349" i="5" s="1"/>
  <c r="G348" i="5"/>
  <c r="F348" i="5"/>
  <c r="F349" i="5" s="1"/>
  <c r="E348" i="5"/>
  <c r="T343" i="5"/>
  <c r="T344" i="5" s="1"/>
  <c r="S343" i="5"/>
  <c r="S344" i="5" s="1"/>
  <c r="R343" i="5"/>
  <c r="R344" i="5" s="1"/>
  <c r="Q343" i="5"/>
  <c r="Q344" i="5" s="1"/>
  <c r="P343" i="5"/>
  <c r="P344" i="5" s="1"/>
  <c r="O343" i="5"/>
  <c r="O344" i="5" s="1"/>
  <c r="N343" i="5"/>
  <c r="N344" i="5" s="1"/>
  <c r="M343" i="5"/>
  <c r="M344" i="5" s="1"/>
  <c r="L343" i="5"/>
  <c r="L344" i="5" s="1"/>
  <c r="K343" i="5"/>
  <c r="K344" i="5" s="1"/>
  <c r="J343" i="5"/>
  <c r="J344" i="5" s="1"/>
  <c r="I343" i="5"/>
  <c r="I344" i="5" s="1"/>
  <c r="H343" i="5"/>
  <c r="H344" i="5" s="1"/>
  <c r="G343" i="5"/>
  <c r="G344" i="5" s="1"/>
  <c r="F343" i="5"/>
  <c r="F344" i="5" s="1"/>
  <c r="E343" i="5"/>
  <c r="T334" i="5"/>
  <c r="S334" i="5"/>
  <c r="R334" i="5"/>
  <c r="Q334" i="5"/>
  <c r="P334" i="5"/>
  <c r="O334" i="5"/>
  <c r="N334" i="5"/>
  <c r="M334" i="5"/>
  <c r="L334" i="5"/>
  <c r="K334" i="5"/>
  <c r="J334" i="5"/>
  <c r="I334" i="5"/>
  <c r="H334" i="5"/>
  <c r="G334" i="5"/>
  <c r="F334" i="5"/>
  <c r="R315" i="5"/>
  <c r="N315" i="5"/>
  <c r="J315" i="5"/>
  <c r="F315" i="5"/>
  <c r="T314" i="5"/>
  <c r="T315" i="5" s="1"/>
  <c r="S314" i="5"/>
  <c r="S315" i="5" s="1"/>
  <c r="R314" i="5"/>
  <c r="Q314" i="5"/>
  <c r="P314" i="5"/>
  <c r="P315" i="5" s="1"/>
  <c r="O314" i="5"/>
  <c r="O315" i="5" s="1"/>
  <c r="N314" i="5"/>
  <c r="M314" i="5"/>
  <c r="L314" i="5"/>
  <c r="L315" i="5" s="1"/>
  <c r="K314" i="5"/>
  <c r="K315" i="5" s="1"/>
  <c r="J314" i="5"/>
  <c r="I314" i="5"/>
  <c r="H314" i="5"/>
  <c r="H315" i="5" s="1"/>
  <c r="G314" i="5"/>
  <c r="G315" i="5" s="1"/>
  <c r="F314" i="5"/>
  <c r="E314" i="5"/>
  <c r="Q310" i="5"/>
  <c r="M310" i="5"/>
  <c r="I310" i="5"/>
  <c r="T309" i="5"/>
  <c r="T310" i="5" s="1"/>
  <c r="S309" i="5"/>
  <c r="S310" i="5" s="1"/>
  <c r="R309" i="5"/>
  <c r="R310" i="5" s="1"/>
  <c r="Q309" i="5"/>
  <c r="P309" i="5"/>
  <c r="P310" i="5" s="1"/>
  <c r="O309" i="5"/>
  <c r="O310" i="5" s="1"/>
  <c r="N309" i="5"/>
  <c r="N310" i="5" s="1"/>
  <c r="M309" i="5"/>
  <c r="L309" i="5"/>
  <c r="L310" i="5" s="1"/>
  <c r="K309" i="5"/>
  <c r="K310" i="5" s="1"/>
  <c r="J309" i="5"/>
  <c r="J310" i="5" s="1"/>
  <c r="I309" i="5"/>
  <c r="H309" i="5"/>
  <c r="H310" i="5" s="1"/>
  <c r="G309" i="5"/>
  <c r="G310" i="5" s="1"/>
  <c r="F309" i="5"/>
  <c r="F310" i="5" s="1"/>
  <c r="E309" i="5"/>
  <c r="T299" i="5"/>
  <c r="T300" i="5" s="1"/>
  <c r="S299" i="5"/>
  <c r="S300" i="5" s="1"/>
  <c r="R299" i="5"/>
  <c r="R300" i="5" s="1"/>
  <c r="Q299" i="5"/>
  <c r="Q300" i="5" s="1"/>
  <c r="P299" i="5"/>
  <c r="P300" i="5" s="1"/>
  <c r="O299" i="5"/>
  <c r="O300" i="5" s="1"/>
  <c r="N299" i="5"/>
  <c r="N300" i="5" s="1"/>
  <c r="M299" i="5"/>
  <c r="M300" i="5" s="1"/>
  <c r="L299" i="5"/>
  <c r="L300" i="5" s="1"/>
  <c r="K299" i="5"/>
  <c r="K300" i="5" s="1"/>
  <c r="J299" i="5"/>
  <c r="J300" i="5" s="1"/>
  <c r="I299" i="5"/>
  <c r="I300" i="5" s="1"/>
  <c r="H299" i="5"/>
  <c r="H300" i="5" s="1"/>
  <c r="G299" i="5"/>
  <c r="G300" i="5" s="1"/>
  <c r="F299" i="5"/>
  <c r="F300" i="5" s="1"/>
  <c r="E299" i="5"/>
  <c r="T278" i="5"/>
  <c r="S278" i="5"/>
  <c r="S279" i="5" s="1"/>
  <c r="R278" i="5"/>
  <c r="R279" i="5" s="1"/>
  <c r="Q278" i="5"/>
  <c r="Q279" i="5" s="1"/>
  <c r="P278" i="5"/>
  <c r="O278" i="5"/>
  <c r="O279" i="5" s="1"/>
  <c r="N278" i="5"/>
  <c r="N279" i="5" s="1"/>
  <c r="M278" i="5"/>
  <c r="M279" i="5" s="1"/>
  <c r="L278" i="5"/>
  <c r="K278" i="5"/>
  <c r="K279" i="5" s="1"/>
  <c r="J278" i="5"/>
  <c r="J279" i="5" s="1"/>
  <c r="I278" i="5"/>
  <c r="I279" i="5" s="1"/>
  <c r="H278" i="5"/>
  <c r="G278" i="5"/>
  <c r="G279" i="5" s="1"/>
  <c r="F278" i="5"/>
  <c r="F279" i="5" s="1"/>
  <c r="E278" i="5"/>
  <c r="R274" i="5"/>
  <c r="N274" i="5"/>
  <c r="J274" i="5"/>
  <c r="F274" i="5"/>
  <c r="T273" i="5"/>
  <c r="T274" i="5" s="1"/>
  <c r="S273" i="5"/>
  <c r="S274" i="5" s="1"/>
  <c r="R273" i="5"/>
  <c r="Q273" i="5"/>
  <c r="Q274" i="5" s="1"/>
  <c r="P273" i="5"/>
  <c r="P274" i="5" s="1"/>
  <c r="O273" i="5"/>
  <c r="O274" i="5" s="1"/>
  <c r="N273" i="5"/>
  <c r="M273" i="5"/>
  <c r="M274" i="5" s="1"/>
  <c r="L273" i="5"/>
  <c r="L274" i="5" s="1"/>
  <c r="K273" i="5"/>
  <c r="K274" i="5" s="1"/>
  <c r="J273" i="5"/>
  <c r="I273" i="5"/>
  <c r="I274" i="5" s="1"/>
  <c r="H273" i="5"/>
  <c r="H274" i="5" s="1"/>
  <c r="G273" i="5"/>
  <c r="G274" i="5" s="1"/>
  <c r="F273" i="5"/>
  <c r="E273" i="5"/>
  <c r="J264" i="5"/>
  <c r="F264" i="5"/>
  <c r="T263" i="5"/>
  <c r="T264" i="5" s="1"/>
  <c r="S263" i="5"/>
  <c r="S264" i="5" s="1"/>
  <c r="R263" i="5"/>
  <c r="R264" i="5" s="1"/>
  <c r="Q263" i="5"/>
  <c r="Q264" i="5" s="1"/>
  <c r="P263" i="5"/>
  <c r="P264" i="5" s="1"/>
  <c r="O263" i="5"/>
  <c r="O264" i="5" s="1"/>
  <c r="N263" i="5"/>
  <c r="N264" i="5" s="1"/>
  <c r="M263" i="5"/>
  <c r="M264" i="5" s="1"/>
  <c r="L263" i="5"/>
  <c r="L264" i="5" s="1"/>
  <c r="K263" i="5"/>
  <c r="K264" i="5" s="1"/>
  <c r="J263" i="5"/>
  <c r="I263" i="5"/>
  <c r="I264" i="5" s="1"/>
  <c r="H263" i="5"/>
  <c r="H264" i="5" s="1"/>
  <c r="G263" i="5"/>
  <c r="G264" i="5" s="1"/>
  <c r="F263" i="5"/>
  <c r="E263" i="5"/>
  <c r="Q246" i="5"/>
  <c r="M246" i="5"/>
  <c r="I246" i="5"/>
  <c r="T245" i="5"/>
  <c r="T246" i="5" s="1"/>
  <c r="S245" i="5"/>
  <c r="S246" i="5" s="1"/>
  <c r="R245" i="5"/>
  <c r="R246" i="5" s="1"/>
  <c r="Q245" i="5"/>
  <c r="P245" i="5"/>
  <c r="P246" i="5" s="1"/>
  <c r="O245" i="5"/>
  <c r="O246" i="5" s="1"/>
  <c r="N245" i="5"/>
  <c r="N246" i="5" s="1"/>
  <c r="M245" i="5"/>
  <c r="L245" i="5"/>
  <c r="L246" i="5" s="1"/>
  <c r="K245" i="5"/>
  <c r="K246" i="5" s="1"/>
  <c r="J245" i="5"/>
  <c r="J246" i="5" s="1"/>
  <c r="I245" i="5"/>
  <c r="H245" i="5"/>
  <c r="H246" i="5" s="1"/>
  <c r="G245" i="5"/>
  <c r="G246" i="5" s="1"/>
  <c r="F245" i="5"/>
  <c r="F246" i="5" s="1"/>
  <c r="E245" i="5"/>
  <c r="T240" i="5"/>
  <c r="T241" i="5" s="1"/>
  <c r="S240" i="5"/>
  <c r="S241" i="5" s="1"/>
  <c r="R240" i="5"/>
  <c r="R241" i="5" s="1"/>
  <c r="Q240" i="5"/>
  <c r="Q241" i="5" s="1"/>
  <c r="P240" i="5"/>
  <c r="P241" i="5" s="1"/>
  <c r="O240" i="5"/>
  <c r="O241" i="5" s="1"/>
  <c r="N240" i="5"/>
  <c r="N241" i="5" s="1"/>
  <c r="M240" i="5"/>
  <c r="M241" i="5" s="1"/>
  <c r="L240" i="5"/>
  <c r="L241" i="5" s="1"/>
  <c r="K240" i="5"/>
  <c r="K241" i="5" s="1"/>
  <c r="J240" i="5"/>
  <c r="J241" i="5" s="1"/>
  <c r="I240" i="5"/>
  <c r="I241" i="5" s="1"/>
  <c r="H240" i="5"/>
  <c r="H241" i="5" s="1"/>
  <c r="G240" i="5"/>
  <c r="G241" i="5" s="1"/>
  <c r="F240" i="5"/>
  <c r="F241" i="5" s="1"/>
  <c r="E240" i="5"/>
  <c r="T230" i="5"/>
  <c r="T231" i="5" s="1"/>
  <c r="S230" i="5"/>
  <c r="S231" i="5" s="1"/>
  <c r="R230" i="5"/>
  <c r="R231" i="5" s="1"/>
  <c r="Q230" i="5"/>
  <c r="Q231" i="5" s="1"/>
  <c r="P230" i="5"/>
  <c r="P231" i="5" s="1"/>
  <c r="O230" i="5"/>
  <c r="O231" i="5" s="1"/>
  <c r="N230" i="5"/>
  <c r="N231" i="5" s="1"/>
  <c r="M230" i="5"/>
  <c r="M231" i="5" s="1"/>
  <c r="L230" i="5"/>
  <c r="L231" i="5" s="1"/>
  <c r="K230" i="5"/>
  <c r="K231" i="5" s="1"/>
  <c r="J230" i="5"/>
  <c r="J231" i="5" s="1"/>
  <c r="I230" i="5"/>
  <c r="I231" i="5" s="1"/>
  <c r="H230" i="5"/>
  <c r="H231" i="5" s="1"/>
  <c r="G230" i="5"/>
  <c r="G231" i="5" s="1"/>
  <c r="F230" i="5"/>
  <c r="F231" i="5" s="1"/>
  <c r="E230" i="5"/>
  <c r="R212" i="5"/>
  <c r="N212" i="5"/>
  <c r="J212" i="5"/>
  <c r="F212" i="5"/>
  <c r="T211" i="5"/>
  <c r="T212" i="5" s="1"/>
  <c r="S211" i="5"/>
  <c r="R211" i="5"/>
  <c r="Q211" i="5"/>
  <c r="P211" i="5"/>
  <c r="P212" i="5" s="1"/>
  <c r="O211" i="5"/>
  <c r="N211" i="5"/>
  <c r="M211" i="5"/>
  <c r="L211" i="5"/>
  <c r="L212" i="5" s="1"/>
  <c r="K211" i="5"/>
  <c r="J211" i="5"/>
  <c r="I211" i="5"/>
  <c r="H211" i="5"/>
  <c r="H212" i="5" s="1"/>
  <c r="G211" i="5"/>
  <c r="F211" i="5"/>
  <c r="E211" i="5"/>
  <c r="Q207" i="5"/>
  <c r="M207" i="5"/>
  <c r="I207" i="5"/>
  <c r="T206" i="5"/>
  <c r="S206" i="5"/>
  <c r="S207" i="5" s="1"/>
  <c r="R206" i="5"/>
  <c r="Q206" i="5"/>
  <c r="P206" i="5"/>
  <c r="O206" i="5"/>
  <c r="O207" i="5" s="1"/>
  <c r="N206" i="5"/>
  <c r="M206" i="5"/>
  <c r="L206" i="5"/>
  <c r="K206" i="5"/>
  <c r="K207" i="5" s="1"/>
  <c r="J206" i="5"/>
  <c r="I206" i="5"/>
  <c r="H206" i="5"/>
  <c r="G206" i="5"/>
  <c r="G207" i="5" s="1"/>
  <c r="F206" i="5"/>
  <c r="E206" i="5"/>
  <c r="T195" i="5"/>
  <c r="T196" i="5" s="1"/>
  <c r="S195" i="5"/>
  <c r="R195" i="5"/>
  <c r="R196" i="5" s="1"/>
  <c r="Q195" i="5"/>
  <c r="P195" i="5"/>
  <c r="P196" i="5" s="1"/>
  <c r="O195" i="5"/>
  <c r="N195" i="5"/>
  <c r="N196" i="5" s="1"/>
  <c r="M195" i="5"/>
  <c r="L195" i="5"/>
  <c r="L196" i="5" s="1"/>
  <c r="K195" i="5"/>
  <c r="J195" i="5"/>
  <c r="J196" i="5" s="1"/>
  <c r="I195" i="5"/>
  <c r="H195" i="5"/>
  <c r="H196" i="5" s="1"/>
  <c r="G195" i="5"/>
  <c r="F195" i="5"/>
  <c r="F196" i="5" s="1"/>
  <c r="E195" i="5"/>
  <c r="T165" i="5"/>
  <c r="T166" i="5" s="1"/>
  <c r="S165" i="5"/>
  <c r="R165" i="5"/>
  <c r="R166" i="5" s="1"/>
  <c r="Q165" i="5"/>
  <c r="P165" i="5"/>
  <c r="P166" i="5" s="1"/>
  <c r="O165" i="5"/>
  <c r="N165" i="5"/>
  <c r="N166" i="5" s="1"/>
  <c r="M165" i="5"/>
  <c r="L165" i="5"/>
  <c r="L166" i="5" s="1"/>
  <c r="K165" i="5"/>
  <c r="J165" i="5"/>
  <c r="J166" i="5" s="1"/>
  <c r="I165" i="5"/>
  <c r="H165" i="5"/>
  <c r="H166" i="5" s="1"/>
  <c r="G165" i="5"/>
  <c r="F165" i="5"/>
  <c r="F166" i="5" s="1"/>
  <c r="E165" i="5"/>
  <c r="R161" i="5"/>
  <c r="N161" i="5"/>
  <c r="J161" i="5"/>
  <c r="F161" i="5"/>
  <c r="T160" i="5"/>
  <c r="T161" i="5" s="1"/>
  <c r="S160" i="5"/>
  <c r="S161" i="5" s="1"/>
  <c r="R160" i="5"/>
  <c r="Q160" i="5"/>
  <c r="Q161" i="5" s="1"/>
  <c r="P160" i="5"/>
  <c r="P161" i="5" s="1"/>
  <c r="O160" i="5"/>
  <c r="O161" i="5" s="1"/>
  <c r="N160" i="5"/>
  <c r="M160" i="5"/>
  <c r="M161" i="5" s="1"/>
  <c r="L160" i="5"/>
  <c r="L161" i="5" s="1"/>
  <c r="K160" i="5"/>
  <c r="K161" i="5" s="1"/>
  <c r="J160" i="5"/>
  <c r="I160" i="5"/>
  <c r="I161" i="5" s="1"/>
  <c r="H160" i="5"/>
  <c r="H161" i="5" s="1"/>
  <c r="G160" i="5"/>
  <c r="G161" i="5" s="1"/>
  <c r="F160" i="5"/>
  <c r="E160" i="5"/>
  <c r="S151" i="5"/>
  <c r="Q151" i="5"/>
  <c r="O151" i="5"/>
  <c r="M151" i="5"/>
  <c r="K151" i="5"/>
  <c r="I151" i="5"/>
  <c r="G151" i="5"/>
  <c r="T151" i="5"/>
  <c r="R151" i="5"/>
  <c r="P151" i="5"/>
  <c r="N151" i="5"/>
  <c r="L151" i="5"/>
  <c r="J151" i="5"/>
  <c r="H151" i="5"/>
  <c r="F151" i="5"/>
  <c r="T131" i="5"/>
  <c r="T132" i="5" s="1"/>
  <c r="S131" i="5"/>
  <c r="S132" i="5" s="1"/>
  <c r="R131" i="5"/>
  <c r="R132" i="5" s="1"/>
  <c r="Q131" i="5"/>
  <c r="Q132" i="5" s="1"/>
  <c r="P131" i="5"/>
  <c r="P132" i="5" s="1"/>
  <c r="O131" i="5"/>
  <c r="O132" i="5" s="1"/>
  <c r="N131" i="5"/>
  <c r="N132" i="5" s="1"/>
  <c r="M131" i="5"/>
  <c r="M132" i="5" s="1"/>
  <c r="L131" i="5"/>
  <c r="L132" i="5" s="1"/>
  <c r="K131" i="5"/>
  <c r="K132" i="5" s="1"/>
  <c r="J131" i="5"/>
  <c r="J132" i="5" s="1"/>
  <c r="I131" i="5"/>
  <c r="I132" i="5" s="1"/>
  <c r="H131" i="5"/>
  <c r="H132" i="5" s="1"/>
  <c r="G131" i="5"/>
  <c r="G132" i="5" s="1"/>
  <c r="F131" i="5"/>
  <c r="F132" i="5" s="1"/>
  <c r="E131" i="5"/>
  <c r="T126" i="5"/>
  <c r="T127" i="5" s="1"/>
  <c r="S126" i="5"/>
  <c r="S127" i="5" s="1"/>
  <c r="R126" i="5"/>
  <c r="R127" i="5" s="1"/>
  <c r="Q126" i="5"/>
  <c r="Q127" i="5" s="1"/>
  <c r="P126" i="5"/>
  <c r="P127" i="5" s="1"/>
  <c r="O126" i="5"/>
  <c r="O127" i="5" s="1"/>
  <c r="N126" i="5"/>
  <c r="N127" i="5" s="1"/>
  <c r="M126" i="5"/>
  <c r="M127" i="5" s="1"/>
  <c r="L126" i="5"/>
  <c r="L127" i="5" s="1"/>
  <c r="K126" i="5"/>
  <c r="K127" i="5" s="1"/>
  <c r="J126" i="5"/>
  <c r="J127" i="5" s="1"/>
  <c r="I126" i="5"/>
  <c r="I127" i="5" s="1"/>
  <c r="H126" i="5"/>
  <c r="H127" i="5" s="1"/>
  <c r="G126" i="5"/>
  <c r="G127" i="5" s="1"/>
  <c r="F126" i="5"/>
  <c r="F127" i="5" s="1"/>
  <c r="E126" i="5"/>
  <c r="T116" i="5"/>
  <c r="T117" i="5" s="1"/>
  <c r="S116" i="5"/>
  <c r="S117" i="5" s="1"/>
  <c r="R116" i="5"/>
  <c r="R117" i="5" s="1"/>
  <c r="Q116" i="5"/>
  <c r="Q117" i="5" s="1"/>
  <c r="P116" i="5"/>
  <c r="P117" i="5" s="1"/>
  <c r="O116" i="5"/>
  <c r="O117" i="5" s="1"/>
  <c r="N116" i="5"/>
  <c r="N117" i="5" s="1"/>
  <c r="M116" i="5"/>
  <c r="M117" i="5" s="1"/>
  <c r="L116" i="5"/>
  <c r="L117" i="5" s="1"/>
  <c r="K116" i="5"/>
  <c r="K117" i="5" s="1"/>
  <c r="J116" i="5"/>
  <c r="J117" i="5" s="1"/>
  <c r="I116" i="5"/>
  <c r="I117" i="5" s="1"/>
  <c r="H116" i="5"/>
  <c r="H117" i="5" s="1"/>
  <c r="G116" i="5"/>
  <c r="G117" i="5" s="1"/>
  <c r="F116" i="5"/>
  <c r="F117" i="5" s="1"/>
  <c r="E116" i="5"/>
  <c r="Q99" i="5"/>
  <c r="T98" i="5"/>
  <c r="S98" i="5"/>
  <c r="S99" i="5" s="1"/>
  <c r="R98" i="5"/>
  <c r="Q98" i="5"/>
  <c r="P98" i="5"/>
  <c r="O98" i="5"/>
  <c r="O99" i="5" s="1"/>
  <c r="N98" i="5"/>
  <c r="M98" i="5"/>
  <c r="M99" i="5" s="1"/>
  <c r="L98" i="5"/>
  <c r="K98" i="5"/>
  <c r="K99" i="5" s="1"/>
  <c r="J98" i="5"/>
  <c r="I98" i="5"/>
  <c r="I99" i="5" s="1"/>
  <c r="H98" i="5"/>
  <c r="G98" i="5"/>
  <c r="G99" i="5" s="1"/>
  <c r="F98" i="5"/>
  <c r="F99" i="5" s="1"/>
  <c r="E98" i="5"/>
  <c r="T93" i="5"/>
  <c r="T94" i="5" s="1"/>
  <c r="S93" i="5"/>
  <c r="S94" i="5" s="1"/>
  <c r="R93" i="5"/>
  <c r="R94" i="5" s="1"/>
  <c r="Q93" i="5"/>
  <c r="Q94" i="5" s="1"/>
  <c r="P93" i="5"/>
  <c r="P94" i="5" s="1"/>
  <c r="O93" i="5"/>
  <c r="O94" i="5" s="1"/>
  <c r="N93" i="5"/>
  <c r="N94" i="5" s="1"/>
  <c r="M93" i="5"/>
  <c r="M94" i="5" s="1"/>
  <c r="L93" i="5"/>
  <c r="L94" i="5" s="1"/>
  <c r="K93" i="5"/>
  <c r="K94" i="5" s="1"/>
  <c r="J93" i="5"/>
  <c r="J94" i="5" s="1"/>
  <c r="I93" i="5"/>
  <c r="I94" i="5" s="1"/>
  <c r="H93" i="5"/>
  <c r="H94" i="5" s="1"/>
  <c r="G93" i="5"/>
  <c r="G94" i="5" s="1"/>
  <c r="F93" i="5"/>
  <c r="F94" i="5" s="1"/>
  <c r="E9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F84" i="5" s="1"/>
  <c r="E83" i="5"/>
  <c r="T64" i="5"/>
  <c r="T65" i="5" s="1"/>
  <c r="S64" i="5"/>
  <c r="S65" i="5" s="1"/>
  <c r="R64" i="5"/>
  <c r="R65" i="5" s="1"/>
  <c r="Q64" i="5"/>
  <c r="Q65" i="5" s="1"/>
  <c r="P64" i="5"/>
  <c r="P65" i="5" s="1"/>
  <c r="O64" i="5"/>
  <c r="O65" i="5" s="1"/>
  <c r="N64" i="5"/>
  <c r="N65" i="5" s="1"/>
  <c r="M64" i="5"/>
  <c r="M65" i="5" s="1"/>
  <c r="L64" i="5"/>
  <c r="L65" i="5" s="1"/>
  <c r="K64" i="5"/>
  <c r="K65" i="5" s="1"/>
  <c r="J64" i="5"/>
  <c r="J65" i="5" s="1"/>
  <c r="I64" i="5"/>
  <c r="I65" i="5" s="1"/>
  <c r="H64" i="5"/>
  <c r="H65" i="5" s="1"/>
  <c r="G64" i="5"/>
  <c r="G65" i="5" s="1"/>
  <c r="F64" i="5"/>
  <c r="F65" i="5" s="1"/>
  <c r="E64" i="5"/>
  <c r="T59" i="5"/>
  <c r="S59" i="5"/>
  <c r="S60" i="5" s="1"/>
  <c r="R59" i="5"/>
  <c r="Q59" i="5"/>
  <c r="Q60" i="5" s="1"/>
  <c r="P59" i="5"/>
  <c r="O59" i="5"/>
  <c r="O60" i="5" s="1"/>
  <c r="N59" i="5"/>
  <c r="M59" i="5"/>
  <c r="M60" i="5" s="1"/>
  <c r="L59" i="5"/>
  <c r="K59" i="5"/>
  <c r="K60" i="5" s="1"/>
  <c r="J59" i="5"/>
  <c r="I59" i="5"/>
  <c r="I60" i="5" s="1"/>
  <c r="H59" i="5"/>
  <c r="G59" i="5"/>
  <c r="G60" i="5" s="1"/>
  <c r="F59" i="5"/>
  <c r="E59" i="5"/>
  <c r="T49" i="5"/>
  <c r="T66" i="5" s="1"/>
  <c r="T68" i="5" s="1"/>
  <c r="S49" i="5"/>
  <c r="S50" i="5" s="1"/>
  <c r="R49" i="5"/>
  <c r="R66" i="5" s="1"/>
  <c r="R68" i="5" s="1"/>
  <c r="Q49" i="5"/>
  <c r="Q50" i="5" s="1"/>
  <c r="P49" i="5"/>
  <c r="P66" i="5" s="1"/>
  <c r="P68" i="5" s="1"/>
  <c r="O49" i="5"/>
  <c r="O50" i="5" s="1"/>
  <c r="N49" i="5"/>
  <c r="N66" i="5" s="1"/>
  <c r="N68" i="5" s="1"/>
  <c r="M49" i="5"/>
  <c r="M50" i="5" s="1"/>
  <c r="L49" i="5"/>
  <c r="L66" i="5" s="1"/>
  <c r="L68" i="5" s="1"/>
  <c r="K49" i="5"/>
  <c r="K50" i="5" s="1"/>
  <c r="J49" i="5"/>
  <c r="J66" i="5" s="1"/>
  <c r="J68" i="5" s="1"/>
  <c r="I49" i="5"/>
  <c r="I50" i="5" s="1"/>
  <c r="H49" i="5"/>
  <c r="H66" i="5" s="1"/>
  <c r="H68" i="5" s="1"/>
  <c r="G49" i="5"/>
  <c r="G50" i="5" s="1"/>
  <c r="F49" i="5"/>
  <c r="F66" i="5" s="1"/>
  <c r="F68" i="5" s="1"/>
  <c r="T30" i="5"/>
  <c r="T176" i="5" s="1"/>
  <c r="T178" i="5" s="1"/>
  <c r="S30" i="5"/>
  <c r="R30" i="5"/>
  <c r="R176" i="5" s="1"/>
  <c r="R178" i="5" s="1"/>
  <c r="Q30" i="5"/>
  <c r="P30" i="5"/>
  <c r="P176" i="5" s="1"/>
  <c r="P178" i="5" s="1"/>
  <c r="O30" i="5"/>
  <c r="N30" i="5"/>
  <c r="N176" i="5" s="1"/>
  <c r="N178" i="5" s="1"/>
  <c r="M30" i="5"/>
  <c r="L30" i="5"/>
  <c r="L176" i="5" s="1"/>
  <c r="L178" i="5" s="1"/>
  <c r="K30" i="5"/>
  <c r="J30" i="5"/>
  <c r="J176" i="5" s="1"/>
  <c r="J178" i="5" s="1"/>
  <c r="I30" i="5"/>
  <c r="H30" i="5"/>
  <c r="H176" i="5" s="1"/>
  <c r="H178" i="5" s="1"/>
  <c r="G30" i="5"/>
  <c r="F30" i="5"/>
  <c r="E30" i="5"/>
  <c r="T25" i="5"/>
  <c r="T26" i="5" s="1"/>
  <c r="S25" i="5"/>
  <c r="R25" i="5"/>
  <c r="R26" i="5" s="1"/>
  <c r="Q25" i="5"/>
  <c r="P25" i="5"/>
  <c r="P26" i="5" s="1"/>
  <c r="O25" i="5"/>
  <c r="N25" i="5"/>
  <c r="N26" i="5" s="1"/>
  <c r="M25" i="5"/>
  <c r="L25" i="5"/>
  <c r="L26" i="5" s="1"/>
  <c r="K25" i="5"/>
  <c r="J25" i="5"/>
  <c r="J26" i="5" s="1"/>
  <c r="I25" i="5"/>
  <c r="H25" i="5"/>
  <c r="H26" i="5" s="1"/>
  <c r="G25" i="5"/>
  <c r="F25" i="5"/>
  <c r="F26" i="5" s="1"/>
  <c r="E25" i="5"/>
  <c r="T14" i="5"/>
  <c r="S14" i="5"/>
  <c r="S15" i="5" s="1"/>
  <c r="R14" i="5"/>
  <c r="Q14" i="5"/>
  <c r="Q15" i="5" s="1"/>
  <c r="P14" i="5"/>
  <c r="O14" i="5"/>
  <c r="O15" i="5" s="1"/>
  <c r="N14" i="5"/>
  <c r="M14" i="5"/>
  <c r="M15" i="5" s="1"/>
  <c r="L14" i="5"/>
  <c r="K14" i="5"/>
  <c r="K15" i="5" s="1"/>
  <c r="J14" i="5"/>
  <c r="I14" i="5"/>
  <c r="I15" i="5" s="1"/>
  <c r="H14" i="5"/>
  <c r="G14" i="5"/>
  <c r="G15" i="5" s="1"/>
  <c r="F14" i="5"/>
  <c r="E14" i="5"/>
  <c r="B2" i="2"/>
  <c r="B321" i="2"/>
  <c r="B320" i="2"/>
  <c r="B278" i="2"/>
  <c r="B277" i="2"/>
  <c r="B250" i="2"/>
  <c r="B208" i="2"/>
  <c r="B186" i="2"/>
  <c r="B133" i="2"/>
  <c r="B105" i="2"/>
  <c r="B73" i="2"/>
  <c r="B29" i="2"/>
  <c r="B4" i="2"/>
  <c r="B310" i="4"/>
  <c r="B309" i="4"/>
  <c r="K309" i="4"/>
  <c r="B264" i="4"/>
  <c r="B263" i="4"/>
  <c r="K263" i="4"/>
  <c r="K309" i="2"/>
  <c r="B209" i="2"/>
  <c r="B206" i="4"/>
  <c r="B134" i="2"/>
  <c r="B131" i="4"/>
  <c r="K130" i="4"/>
  <c r="B76" i="4"/>
  <c r="K29" i="4"/>
  <c r="H8" i="4"/>
  <c r="H9" i="4"/>
  <c r="H10" i="4"/>
  <c r="H11" i="4"/>
  <c r="H12" i="4"/>
  <c r="H13" i="4"/>
  <c r="K331" i="4"/>
  <c r="K328" i="4"/>
  <c r="K327" i="4"/>
  <c r="K321" i="4"/>
  <c r="K320" i="4"/>
  <c r="H320" i="4"/>
  <c r="K319" i="4"/>
  <c r="H319" i="4"/>
  <c r="K318" i="4"/>
  <c r="H318" i="4"/>
  <c r="K317" i="4"/>
  <c r="H317" i="4"/>
  <c r="K316" i="4"/>
  <c r="H316" i="4"/>
  <c r="K313" i="4"/>
  <c r="K307" i="4"/>
  <c r="K304" i="4"/>
  <c r="K303" i="4"/>
  <c r="K302" i="4"/>
  <c r="K301" i="4"/>
  <c r="K298" i="4"/>
  <c r="K295" i="4"/>
  <c r="K294" i="4"/>
  <c r="K293" i="4"/>
  <c r="K287" i="4"/>
  <c r="K286" i="4"/>
  <c r="K285" i="4"/>
  <c r="K284" i="4"/>
  <c r="K283" i="4"/>
  <c r="K282" i="4"/>
  <c r="K281" i="4"/>
  <c r="K280" i="4"/>
  <c r="K279" i="4"/>
  <c r="K278" i="4"/>
  <c r="K276" i="4"/>
  <c r="K275" i="4"/>
  <c r="K272" i="4"/>
  <c r="K271" i="4"/>
  <c r="K270" i="4"/>
  <c r="K269" i="4"/>
  <c r="K268" i="4"/>
  <c r="K260" i="4"/>
  <c r="K256" i="4"/>
  <c r="K255" i="4"/>
  <c r="F251" i="4"/>
  <c r="H251" i="4" s="1"/>
  <c r="F250" i="4"/>
  <c r="K250" i="4" s="1"/>
  <c r="F249" i="4"/>
  <c r="H249" i="4" s="1"/>
  <c r="F248" i="4"/>
  <c r="K248" i="4" s="1"/>
  <c r="F247" i="4"/>
  <c r="H247" i="4" s="1"/>
  <c r="F246" i="4"/>
  <c r="K246" i="4" s="1"/>
  <c r="F245" i="4"/>
  <c r="H245" i="4" s="1"/>
  <c r="F244" i="4"/>
  <c r="K244" i="4" s="1"/>
  <c r="F243" i="4"/>
  <c r="H243" i="4" s="1"/>
  <c r="K239" i="4"/>
  <c r="G239" i="4"/>
  <c r="K238" i="4"/>
  <c r="B237" i="4"/>
  <c r="K233" i="4"/>
  <c r="K230" i="4"/>
  <c r="K229" i="4"/>
  <c r="K225" i="4"/>
  <c r="K224" i="4"/>
  <c r="K223" i="4"/>
  <c r="K222" i="4"/>
  <c r="K221" i="4"/>
  <c r="K217" i="4"/>
  <c r="K216" i="4"/>
  <c r="K215" i="4"/>
  <c r="K214" i="4"/>
  <c r="K213" i="4"/>
  <c r="K210" i="4"/>
  <c r="K209" i="4"/>
  <c r="K208" i="4"/>
  <c r="K207" i="4"/>
  <c r="K204" i="4"/>
  <c r="A207" i="4"/>
  <c r="K202" i="4"/>
  <c r="K199" i="4"/>
  <c r="K198" i="4"/>
  <c r="K197" i="4"/>
  <c r="K196" i="4"/>
  <c r="F192" i="4"/>
  <c r="H192" i="4" s="1"/>
  <c r="F191" i="4"/>
  <c r="K191" i="4" s="1"/>
  <c r="F190" i="4"/>
  <c r="H190" i="4" s="1"/>
  <c r="F189" i="4"/>
  <c r="K189" i="4" s="1"/>
  <c r="F188" i="4"/>
  <c r="H188" i="4" s="1"/>
  <c r="K185" i="4"/>
  <c r="B184" i="4"/>
  <c r="K183" i="4"/>
  <c r="K180" i="4"/>
  <c r="K178" i="4"/>
  <c r="H175" i="4"/>
  <c r="F175" i="4"/>
  <c r="K175" i="4" s="1"/>
  <c r="H174" i="4"/>
  <c r="F174" i="4"/>
  <c r="K174" i="4" s="1"/>
  <c r="H173" i="4"/>
  <c r="F173" i="4"/>
  <c r="K173" i="4" s="1"/>
  <c r="H172" i="4"/>
  <c r="F172" i="4"/>
  <c r="K172" i="4" s="1"/>
  <c r="K171" i="4" s="1"/>
  <c r="F168" i="4"/>
  <c r="K168" i="4" s="1"/>
  <c r="F167" i="4"/>
  <c r="H167" i="4" s="1"/>
  <c r="F166" i="4"/>
  <c r="K166" i="4" s="1"/>
  <c r="F165" i="4"/>
  <c r="H165" i="4" s="1"/>
  <c r="F164" i="4"/>
  <c r="K164" i="4" s="1"/>
  <c r="F163" i="4"/>
  <c r="H163" i="4" s="1"/>
  <c r="F162" i="4"/>
  <c r="K162" i="4" s="1"/>
  <c r="H161" i="4"/>
  <c r="F161" i="4"/>
  <c r="K161" i="4" s="1"/>
  <c r="H160" i="4"/>
  <c r="F160" i="4"/>
  <c r="K160" i="4" s="1"/>
  <c r="K157" i="4"/>
  <c r="K152" i="4"/>
  <c r="K151" i="4"/>
  <c r="K148" i="4"/>
  <c r="K146" i="4"/>
  <c r="K143" i="4"/>
  <c r="K142" i="4"/>
  <c r="H142" i="4"/>
  <c r="K141" i="4"/>
  <c r="H141" i="4"/>
  <c r="K140" i="4"/>
  <c r="H140" i="4"/>
  <c r="K139" i="4"/>
  <c r="H139" i="4"/>
  <c r="K138" i="4"/>
  <c r="H138" i="4"/>
  <c r="K133" i="4"/>
  <c r="K127" i="4"/>
  <c r="K124" i="4"/>
  <c r="K123" i="4"/>
  <c r="K122" i="4"/>
  <c r="K118" i="4"/>
  <c r="K117" i="4"/>
  <c r="K116" i="4"/>
  <c r="K112" i="4"/>
  <c r="K111" i="4"/>
  <c r="K110" i="4"/>
  <c r="K109" i="4"/>
  <c r="K108" i="4"/>
  <c r="K107" i="4"/>
  <c r="K106" i="4"/>
  <c r="K105" i="4"/>
  <c r="B103" i="4"/>
  <c r="K101" i="4"/>
  <c r="K99" i="4"/>
  <c r="K96" i="4"/>
  <c r="K95" i="4"/>
  <c r="K91" i="4"/>
  <c r="K90" i="4"/>
  <c r="K89" i="4"/>
  <c r="K88" i="4"/>
  <c r="K87" i="4"/>
  <c r="K86" i="4"/>
  <c r="K85" i="4"/>
  <c r="K84" i="4"/>
  <c r="K83" i="4"/>
  <c r="K82" i="4"/>
  <c r="K81" i="4"/>
  <c r="K77" i="4"/>
  <c r="K76" i="4" s="1"/>
  <c r="K74" i="4"/>
  <c r="K71" i="4"/>
  <c r="K68" i="4"/>
  <c r="K67" i="4"/>
  <c r="K66" i="4"/>
  <c r="K65" i="4"/>
  <c r="K61" i="4"/>
  <c r="K60" i="4"/>
  <c r="K59" i="4"/>
  <c r="K54" i="4"/>
  <c r="K53" i="4"/>
  <c r="K52" i="4"/>
  <c r="K51" i="4"/>
  <c r="K50" i="4"/>
  <c r="K49" i="4"/>
  <c r="K48" i="4"/>
  <c r="K47" i="4"/>
  <c r="K41" i="4"/>
  <c r="K39" i="4"/>
  <c r="K38" i="4"/>
  <c r="K36" i="4"/>
  <c r="K35" i="4"/>
  <c r="B30" i="4"/>
  <c r="K26" i="4"/>
  <c r="K23" i="4"/>
  <c r="H23" i="4"/>
  <c r="K22" i="4"/>
  <c r="H22" i="4"/>
  <c r="K21" i="4"/>
  <c r="H21" i="4"/>
  <c r="K20" i="4"/>
  <c r="H20" i="4"/>
  <c r="K17" i="4"/>
  <c r="K13" i="4"/>
  <c r="K12" i="4"/>
  <c r="K11" i="4"/>
  <c r="K10" i="4"/>
  <c r="K9" i="4"/>
  <c r="K8" i="4"/>
  <c r="B5" i="4"/>
  <c r="K4" i="4"/>
  <c r="K3" i="4"/>
  <c r="I1" i="4"/>
  <c r="G1" i="4"/>
  <c r="L28" i="1"/>
  <c r="K323" i="2"/>
  <c r="K133" i="2"/>
  <c r="K114" i="2"/>
  <c r="K115" i="2"/>
  <c r="K113" i="2"/>
  <c r="K112" i="2"/>
  <c r="K111" i="2"/>
  <c r="K110" i="2"/>
  <c r="K109" i="2"/>
  <c r="K108" i="2"/>
  <c r="T352" i="3"/>
  <c r="T353" i="3" s="1"/>
  <c r="S352" i="3"/>
  <c r="R352" i="3"/>
  <c r="R353" i="3" s="1"/>
  <c r="Q352" i="3"/>
  <c r="P352" i="3"/>
  <c r="P353" i="3" s="1"/>
  <c r="O352" i="3"/>
  <c r="N352" i="3"/>
  <c r="N353" i="3" s="1"/>
  <c r="M352" i="3"/>
  <c r="L352" i="3"/>
  <c r="L353" i="3" s="1"/>
  <c r="K352" i="3"/>
  <c r="J352" i="3"/>
  <c r="J353" i="3" s="1"/>
  <c r="I352" i="3"/>
  <c r="H352" i="3"/>
  <c r="G352" i="3"/>
  <c r="F352" i="3"/>
  <c r="E352" i="3"/>
  <c r="T347" i="3"/>
  <c r="T348" i="3" s="1"/>
  <c r="S347" i="3"/>
  <c r="S348" i="3" s="1"/>
  <c r="R347" i="3"/>
  <c r="R348" i="3" s="1"/>
  <c r="Q347" i="3"/>
  <c r="Q348" i="3" s="1"/>
  <c r="P347" i="3"/>
  <c r="P348" i="3" s="1"/>
  <c r="O347" i="3"/>
  <c r="O348" i="3" s="1"/>
  <c r="N347" i="3"/>
  <c r="N348" i="3" s="1"/>
  <c r="M347" i="3"/>
  <c r="M348" i="3" s="1"/>
  <c r="L347" i="3"/>
  <c r="L348" i="3" s="1"/>
  <c r="K347" i="3"/>
  <c r="K348" i="3" s="1"/>
  <c r="J347" i="3"/>
  <c r="J348" i="3" s="1"/>
  <c r="I347" i="3"/>
  <c r="I348" i="3" s="1"/>
  <c r="H347" i="3"/>
  <c r="H348" i="3" s="1"/>
  <c r="G347" i="3"/>
  <c r="G348" i="3" s="1"/>
  <c r="F347" i="3"/>
  <c r="F348" i="3" s="1"/>
  <c r="E347" i="3"/>
  <c r="T338" i="3"/>
  <c r="R338" i="3"/>
  <c r="P338" i="3"/>
  <c r="N338" i="3"/>
  <c r="L338" i="3"/>
  <c r="J338" i="3"/>
  <c r="H338" i="3"/>
  <c r="F338" i="3"/>
  <c r="T317" i="3"/>
  <c r="T318" i="3" s="1"/>
  <c r="S317" i="3"/>
  <c r="R317" i="3"/>
  <c r="R318" i="3" s="1"/>
  <c r="Q317" i="3"/>
  <c r="P317" i="3"/>
  <c r="P318" i="3" s="1"/>
  <c r="O317" i="3"/>
  <c r="N317" i="3"/>
  <c r="N318" i="3" s="1"/>
  <c r="M317" i="3"/>
  <c r="L317" i="3"/>
  <c r="L318" i="3" s="1"/>
  <c r="K317" i="3"/>
  <c r="J317" i="3"/>
  <c r="J318" i="3" s="1"/>
  <c r="I317" i="3"/>
  <c r="H317" i="3"/>
  <c r="H318" i="3" s="1"/>
  <c r="G317" i="3"/>
  <c r="F317" i="3"/>
  <c r="F318" i="3" s="1"/>
  <c r="E317" i="3"/>
  <c r="T312" i="3"/>
  <c r="T313" i="3" s="1"/>
  <c r="S312" i="3"/>
  <c r="S313" i="3" s="1"/>
  <c r="R312" i="3"/>
  <c r="R313" i="3" s="1"/>
  <c r="Q312" i="3"/>
  <c r="Q313" i="3" s="1"/>
  <c r="P312" i="3"/>
  <c r="P313" i="3" s="1"/>
  <c r="O312" i="3"/>
  <c r="O313" i="3" s="1"/>
  <c r="N312" i="3"/>
  <c r="N313" i="3" s="1"/>
  <c r="M312" i="3"/>
  <c r="M313" i="3" s="1"/>
  <c r="L312" i="3"/>
  <c r="L313" i="3" s="1"/>
  <c r="K312" i="3"/>
  <c r="K313" i="3" s="1"/>
  <c r="J312" i="3"/>
  <c r="J313" i="3" s="1"/>
  <c r="I312" i="3"/>
  <c r="I313" i="3" s="1"/>
  <c r="H312" i="3"/>
  <c r="H313" i="3" s="1"/>
  <c r="G312" i="3"/>
  <c r="G313" i="3" s="1"/>
  <c r="F312" i="3"/>
  <c r="F313" i="3" s="1"/>
  <c r="E312" i="3"/>
  <c r="T302" i="3"/>
  <c r="T303" i="3" s="1"/>
  <c r="S302" i="3"/>
  <c r="S303" i="3" s="1"/>
  <c r="R302" i="3"/>
  <c r="R303" i="3" s="1"/>
  <c r="Q302" i="3"/>
  <c r="Q303" i="3" s="1"/>
  <c r="P302" i="3"/>
  <c r="P303" i="3" s="1"/>
  <c r="O302" i="3"/>
  <c r="O303" i="3" s="1"/>
  <c r="N302" i="3"/>
  <c r="N303" i="3" s="1"/>
  <c r="M302" i="3"/>
  <c r="M303" i="3" s="1"/>
  <c r="L302" i="3"/>
  <c r="L303" i="3" s="1"/>
  <c r="K302" i="3"/>
  <c r="K303" i="3" s="1"/>
  <c r="J302" i="3"/>
  <c r="J303" i="3" s="1"/>
  <c r="I302" i="3"/>
  <c r="I303" i="3" s="1"/>
  <c r="H302" i="3"/>
  <c r="H303" i="3" s="1"/>
  <c r="G302" i="3"/>
  <c r="G303" i="3" s="1"/>
  <c r="F302" i="3"/>
  <c r="F303" i="3" s="1"/>
  <c r="E302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T276" i="3"/>
  <c r="T277" i="3" s="1"/>
  <c r="S276" i="3"/>
  <c r="S277" i="3" s="1"/>
  <c r="R276" i="3"/>
  <c r="R277" i="3" s="1"/>
  <c r="Q276" i="3"/>
  <c r="Q277" i="3" s="1"/>
  <c r="P276" i="3"/>
  <c r="P277" i="3" s="1"/>
  <c r="O276" i="3"/>
  <c r="O277" i="3" s="1"/>
  <c r="N276" i="3"/>
  <c r="N277" i="3" s="1"/>
  <c r="M276" i="3"/>
  <c r="M277" i="3" s="1"/>
  <c r="L276" i="3"/>
  <c r="L277" i="3" s="1"/>
  <c r="K276" i="3"/>
  <c r="K277" i="3" s="1"/>
  <c r="J276" i="3"/>
  <c r="J277" i="3" s="1"/>
  <c r="I276" i="3"/>
  <c r="I277" i="3" s="1"/>
  <c r="H276" i="3"/>
  <c r="H277" i="3" s="1"/>
  <c r="G276" i="3"/>
  <c r="G277" i="3" s="1"/>
  <c r="F276" i="3"/>
  <c r="F277" i="3" s="1"/>
  <c r="E276" i="3"/>
  <c r="T266" i="3"/>
  <c r="T267" i="3" s="1"/>
  <c r="S266" i="3"/>
  <c r="S267" i="3" s="1"/>
  <c r="R266" i="3"/>
  <c r="R267" i="3" s="1"/>
  <c r="Q266" i="3"/>
  <c r="Q267" i="3" s="1"/>
  <c r="P266" i="3"/>
  <c r="P267" i="3" s="1"/>
  <c r="O266" i="3"/>
  <c r="O267" i="3" s="1"/>
  <c r="N266" i="3"/>
  <c r="N267" i="3" s="1"/>
  <c r="M266" i="3"/>
  <c r="M267" i="3" s="1"/>
  <c r="L266" i="3"/>
  <c r="L267" i="3" s="1"/>
  <c r="K266" i="3"/>
  <c r="K267" i="3" s="1"/>
  <c r="J266" i="3"/>
  <c r="J267" i="3" s="1"/>
  <c r="I266" i="3"/>
  <c r="I267" i="3" s="1"/>
  <c r="H266" i="3"/>
  <c r="H267" i="3" s="1"/>
  <c r="G266" i="3"/>
  <c r="G267" i="3" s="1"/>
  <c r="F266" i="3"/>
  <c r="F267" i="3" s="1"/>
  <c r="E266" i="3"/>
  <c r="T248" i="3"/>
  <c r="S248" i="3"/>
  <c r="S249" i="3" s="1"/>
  <c r="R248" i="3"/>
  <c r="Q248" i="3"/>
  <c r="Q249" i="3" s="1"/>
  <c r="P248" i="3"/>
  <c r="O248" i="3"/>
  <c r="O249" i="3" s="1"/>
  <c r="N248" i="3"/>
  <c r="M248" i="3"/>
  <c r="M249" i="3" s="1"/>
  <c r="L248" i="3"/>
  <c r="K248" i="3"/>
  <c r="K249" i="3" s="1"/>
  <c r="J248" i="3"/>
  <c r="I248" i="3"/>
  <c r="I249" i="3" s="1"/>
  <c r="H248" i="3"/>
  <c r="G248" i="3"/>
  <c r="G249" i="3" s="1"/>
  <c r="F248" i="3"/>
  <c r="E248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F244" i="3" s="1"/>
  <c r="E243" i="3"/>
  <c r="T233" i="3"/>
  <c r="T234" i="3" s="1"/>
  <c r="S233" i="3"/>
  <c r="S234" i="3" s="1"/>
  <c r="R233" i="3"/>
  <c r="R234" i="3" s="1"/>
  <c r="Q233" i="3"/>
  <c r="Q234" i="3" s="1"/>
  <c r="P233" i="3"/>
  <c r="P234" i="3" s="1"/>
  <c r="O233" i="3"/>
  <c r="O234" i="3" s="1"/>
  <c r="N233" i="3"/>
  <c r="N234" i="3" s="1"/>
  <c r="M233" i="3"/>
  <c r="M234" i="3" s="1"/>
  <c r="L233" i="3"/>
  <c r="L234" i="3" s="1"/>
  <c r="K233" i="3"/>
  <c r="K234" i="3" s="1"/>
  <c r="J233" i="3"/>
  <c r="J234" i="3" s="1"/>
  <c r="I233" i="3"/>
  <c r="I234" i="3" s="1"/>
  <c r="H233" i="3"/>
  <c r="H234" i="3" s="1"/>
  <c r="G233" i="3"/>
  <c r="G234" i="3" s="1"/>
  <c r="F233" i="3"/>
  <c r="F234" i="3" s="1"/>
  <c r="E233" i="3"/>
  <c r="T214" i="3"/>
  <c r="T363" i="3" s="1"/>
  <c r="T365" i="3" s="1"/>
  <c r="S214" i="3"/>
  <c r="S363" i="3" s="1"/>
  <c r="S365" i="3" s="1"/>
  <c r="R214" i="3"/>
  <c r="R363" i="3" s="1"/>
  <c r="R365" i="3" s="1"/>
  <c r="Q214" i="3"/>
  <c r="Q363" i="3" s="1"/>
  <c r="Q365" i="3" s="1"/>
  <c r="P214" i="3"/>
  <c r="P363" i="3" s="1"/>
  <c r="P365" i="3" s="1"/>
  <c r="O214" i="3"/>
  <c r="O363" i="3" s="1"/>
  <c r="O365" i="3" s="1"/>
  <c r="N214" i="3"/>
  <c r="N363" i="3" s="1"/>
  <c r="N365" i="3" s="1"/>
  <c r="M214" i="3"/>
  <c r="M363" i="3" s="1"/>
  <c r="M365" i="3" s="1"/>
  <c r="L214" i="3"/>
  <c r="L363" i="3" s="1"/>
  <c r="L365" i="3" s="1"/>
  <c r="K214" i="3"/>
  <c r="K363" i="3" s="1"/>
  <c r="K365" i="3" s="1"/>
  <c r="J214" i="3"/>
  <c r="J363" i="3" s="1"/>
  <c r="J365" i="3" s="1"/>
  <c r="I214" i="3"/>
  <c r="I363" i="3" s="1"/>
  <c r="I365" i="3" s="1"/>
  <c r="H214" i="3"/>
  <c r="H363" i="3" s="1"/>
  <c r="H365" i="3" s="1"/>
  <c r="G214" i="3"/>
  <c r="G363" i="3" s="1"/>
  <c r="G365" i="3" s="1"/>
  <c r="F214" i="3"/>
  <c r="F363" i="3" s="1"/>
  <c r="F365" i="3" s="1"/>
  <c r="E214" i="3"/>
  <c r="T209" i="3"/>
  <c r="T210" i="3" s="1"/>
  <c r="S209" i="3"/>
  <c r="S210" i="3" s="1"/>
  <c r="R209" i="3"/>
  <c r="R210" i="3" s="1"/>
  <c r="Q209" i="3"/>
  <c r="Q210" i="3" s="1"/>
  <c r="P209" i="3"/>
  <c r="P210" i="3" s="1"/>
  <c r="O209" i="3"/>
  <c r="O210" i="3" s="1"/>
  <c r="N209" i="3"/>
  <c r="N210" i="3" s="1"/>
  <c r="M209" i="3"/>
  <c r="M210" i="3" s="1"/>
  <c r="L209" i="3"/>
  <c r="L210" i="3" s="1"/>
  <c r="K209" i="3"/>
  <c r="K210" i="3" s="1"/>
  <c r="J209" i="3"/>
  <c r="J210" i="3" s="1"/>
  <c r="I209" i="3"/>
  <c r="I210" i="3" s="1"/>
  <c r="H209" i="3"/>
  <c r="H210" i="3" s="1"/>
  <c r="G209" i="3"/>
  <c r="G210" i="3" s="1"/>
  <c r="F209" i="3"/>
  <c r="F210" i="3" s="1"/>
  <c r="E209" i="3"/>
  <c r="T198" i="3"/>
  <c r="T357" i="3" s="1"/>
  <c r="S198" i="3"/>
  <c r="S357" i="3" s="1"/>
  <c r="R198" i="3"/>
  <c r="R357" i="3" s="1"/>
  <c r="Q198" i="3"/>
  <c r="Q357" i="3" s="1"/>
  <c r="P198" i="3"/>
  <c r="P357" i="3" s="1"/>
  <c r="O198" i="3"/>
  <c r="O357" i="3" s="1"/>
  <c r="N198" i="3"/>
  <c r="N357" i="3" s="1"/>
  <c r="M198" i="3"/>
  <c r="M357" i="3" s="1"/>
  <c r="L198" i="3"/>
  <c r="L357" i="3" s="1"/>
  <c r="K198" i="3"/>
  <c r="K357" i="3" s="1"/>
  <c r="J198" i="3"/>
  <c r="J357" i="3" s="1"/>
  <c r="I198" i="3"/>
  <c r="I357" i="3" s="1"/>
  <c r="H198" i="3"/>
  <c r="H357" i="3" s="1"/>
  <c r="G198" i="3"/>
  <c r="G357" i="3" s="1"/>
  <c r="F198" i="3"/>
  <c r="E198" i="3"/>
  <c r="T168" i="3"/>
  <c r="S168" i="3"/>
  <c r="R168" i="3"/>
  <c r="Q168" i="3"/>
  <c r="P168" i="3"/>
  <c r="O168" i="3"/>
  <c r="N168" i="3"/>
  <c r="M168" i="3"/>
  <c r="M169" i="3" s="1"/>
  <c r="L168" i="3"/>
  <c r="L169" i="3" s="1"/>
  <c r="K168" i="3"/>
  <c r="K169" i="3" s="1"/>
  <c r="J168" i="3"/>
  <c r="J169" i="3" s="1"/>
  <c r="I168" i="3"/>
  <c r="I169" i="3" s="1"/>
  <c r="H168" i="3"/>
  <c r="H169" i="3" s="1"/>
  <c r="G168" i="3"/>
  <c r="G169" i="3" s="1"/>
  <c r="F168" i="3"/>
  <c r="F169" i="3" s="1"/>
  <c r="E168" i="3"/>
  <c r="T163" i="3"/>
  <c r="T164" i="3" s="1"/>
  <c r="S163" i="3"/>
  <c r="S164" i="3" s="1"/>
  <c r="R163" i="3"/>
  <c r="R164" i="3" s="1"/>
  <c r="Q163" i="3"/>
  <c r="Q164" i="3" s="1"/>
  <c r="P163" i="3"/>
  <c r="P164" i="3" s="1"/>
  <c r="O163" i="3"/>
  <c r="O164" i="3" s="1"/>
  <c r="N163" i="3"/>
  <c r="N164" i="3" s="1"/>
  <c r="M163" i="3"/>
  <c r="M164" i="3" s="1"/>
  <c r="L163" i="3"/>
  <c r="L164" i="3" s="1"/>
  <c r="K163" i="3"/>
  <c r="K164" i="3" s="1"/>
  <c r="J163" i="3"/>
  <c r="J164" i="3" s="1"/>
  <c r="I163" i="3"/>
  <c r="I164" i="3" s="1"/>
  <c r="H163" i="3"/>
  <c r="H164" i="3" s="1"/>
  <c r="G163" i="3"/>
  <c r="G164" i="3" s="1"/>
  <c r="F163" i="3"/>
  <c r="F164" i="3" s="1"/>
  <c r="E163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T134" i="3"/>
  <c r="T135" i="3" s="1"/>
  <c r="S134" i="3"/>
  <c r="R134" i="3"/>
  <c r="R135" i="3" s="1"/>
  <c r="Q134" i="3"/>
  <c r="P134" i="3"/>
  <c r="P135" i="3" s="1"/>
  <c r="O134" i="3"/>
  <c r="N134" i="3"/>
  <c r="N135" i="3" s="1"/>
  <c r="M134" i="3"/>
  <c r="L134" i="3"/>
  <c r="L135" i="3" s="1"/>
  <c r="K134" i="3"/>
  <c r="J134" i="3"/>
  <c r="J135" i="3" s="1"/>
  <c r="I134" i="3"/>
  <c r="H134" i="3"/>
  <c r="H135" i="3" s="1"/>
  <c r="G134" i="3"/>
  <c r="F134" i="3"/>
  <c r="F135" i="3" s="1"/>
  <c r="E134" i="3"/>
  <c r="T129" i="3"/>
  <c r="T130" i="3" s="1"/>
  <c r="S129" i="3"/>
  <c r="S130" i="3" s="1"/>
  <c r="R129" i="3"/>
  <c r="R130" i="3" s="1"/>
  <c r="Q129" i="3"/>
  <c r="Q130" i="3" s="1"/>
  <c r="P129" i="3"/>
  <c r="P130" i="3" s="1"/>
  <c r="O129" i="3"/>
  <c r="O130" i="3" s="1"/>
  <c r="N129" i="3"/>
  <c r="N130" i="3" s="1"/>
  <c r="M129" i="3"/>
  <c r="M130" i="3" s="1"/>
  <c r="L129" i="3"/>
  <c r="L130" i="3" s="1"/>
  <c r="K129" i="3"/>
  <c r="K130" i="3" s="1"/>
  <c r="J129" i="3"/>
  <c r="J130" i="3" s="1"/>
  <c r="I129" i="3"/>
  <c r="I130" i="3" s="1"/>
  <c r="H129" i="3"/>
  <c r="H130" i="3" s="1"/>
  <c r="G129" i="3"/>
  <c r="G130" i="3" s="1"/>
  <c r="F129" i="3"/>
  <c r="F130" i="3" s="1"/>
  <c r="E129" i="3"/>
  <c r="T119" i="3"/>
  <c r="T120" i="3" s="1"/>
  <c r="S119" i="3"/>
  <c r="S120" i="3" s="1"/>
  <c r="R119" i="3"/>
  <c r="R120" i="3" s="1"/>
  <c r="Q119" i="3"/>
  <c r="Q120" i="3" s="1"/>
  <c r="P119" i="3"/>
  <c r="P120" i="3" s="1"/>
  <c r="O119" i="3"/>
  <c r="O120" i="3" s="1"/>
  <c r="N119" i="3"/>
  <c r="N120" i="3" s="1"/>
  <c r="M119" i="3"/>
  <c r="M120" i="3" s="1"/>
  <c r="L119" i="3"/>
  <c r="L120" i="3" s="1"/>
  <c r="K119" i="3"/>
  <c r="K120" i="3" s="1"/>
  <c r="J119" i="3"/>
  <c r="J120" i="3" s="1"/>
  <c r="I119" i="3"/>
  <c r="I120" i="3" s="1"/>
  <c r="H119" i="3"/>
  <c r="H120" i="3" s="1"/>
  <c r="G119" i="3"/>
  <c r="G120" i="3" s="1"/>
  <c r="F119" i="3"/>
  <c r="F120" i="3" s="1"/>
  <c r="E119" i="3"/>
  <c r="T101" i="3"/>
  <c r="S101" i="3"/>
  <c r="R101" i="3"/>
  <c r="Q101" i="3"/>
  <c r="Q102" i="3" s="1"/>
  <c r="P101" i="3"/>
  <c r="O101" i="3"/>
  <c r="N101" i="3"/>
  <c r="M101" i="3"/>
  <c r="M102" i="3" s="1"/>
  <c r="L101" i="3"/>
  <c r="K101" i="3"/>
  <c r="J101" i="3"/>
  <c r="I101" i="3"/>
  <c r="I102" i="3" s="1"/>
  <c r="H101" i="3"/>
  <c r="G101" i="3"/>
  <c r="F101" i="3"/>
  <c r="E101" i="3"/>
  <c r="T96" i="3"/>
  <c r="T97" i="3" s="1"/>
  <c r="S96" i="3"/>
  <c r="S97" i="3" s="1"/>
  <c r="R96" i="3"/>
  <c r="R97" i="3" s="1"/>
  <c r="Q96" i="3"/>
  <c r="Q97" i="3" s="1"/>
  <c r="P96" i="3"/>
  <c r="P97" i="3" s="1"/>
  <c r="O96" i="3"/>
  <c r="O97" i="3" s="1"/>
  <c r="N96" i="3"/>
  <c r="N97" i="3" s="1"/>
  <c r="M96" i="3"/>
  <c r="M97" i="3" s="1"/>
  <c r="L96" i="3"/>
  <c r="L97" i="3" s="1"/>
  <c r="K96" i="3"/>
  <c r="K97" i="3" s="1"/>
  <c r="J96" i="3"/>
  <c r="J97" i="3" s="1"/>
  <c r="I96" i="3"/>
  <c r="I97" i="3" s="1"/>
  <c r="H96" i="3"/>
  <c r="H97" i="3" s="1"/>
  <c r="G96" i="3"/>
  <c r="G97" i="3" s="1"/>
  <c r="F96" i="3"/>
  <c r="F97" i="3" s="1"/>
  <c r="E96" i="3"/>
  <c r="T86" i="3"/>
  <c r="T87" i="3" s="1"/>
  <c r="S86" i="3"/>
  <c r="S87" i="3" s="1"/>
  <c r="R86" i="3"/>
  <c r="R87" i="3" s="1"/>
  <c r="Q86" i="3"/>
  <c r="Q87" i="3" s="1"/>
  <c r="P86" i="3"/>
  <c r="P87" i="3" s="1"/>
  <c r="O86" i="3"/>
  <c r="O87" i="3" s="1"/>
  <c r="N86" i="3"/>
  <c r="N87" i="3" s="1"/>
  <c r="M86" i="3"/>
  <c r="M87" i="3" s="1"/>
  <c r="L86" i="3"/>
  <c r="L87" i="3" s="1"/>
  <c r="K86" i="3"/>
  <c r="K87" i="3" s="1"/>
  <c r="J86" i="3"/>
  <c r="J87" i="3" s="1"/>
  <c r="I86" i="3"/>
  <c r="I87" i="3" s="1"/>
  <c r="H86" i="3"/>
  <c r="H87" i="3" s="1"/>
  <c r="G86" i="3"/>
  <c r="G87" i="3" s="1"/>
  <c r="F86" i="3"/>
  <c r="F87" i="3" s="1"/>
  <c r="E86" i="3"/>
  <c r="T66" i="3"/>
  <c r="S66" i="3"/>
  <c r="R66" i="3"/>
  <c r="R67" i="3" s="1"/>
  <c r="Q66" i="3"/>
  <c r="P66" i="3"/>
  <c r="O66" i="3"/>
  <c r="N66" i="3"/>
  <c r="N67" i="3" s="1"/>
  <c r="M66" i="3"/>
  <c r="L66" i="3"/>
  <c r="K66" i="3"/>
  <c r="J66" i="3"/>
  <c r="J67" i="3" s="1"/>
  <c r="I66" i="3"/>
  <c r="H66" i="3"/>
  <c r="G66" i="3"/>
  <c r="F66" i="3"/>
  <c r="F67" i="3" s="1"/>
  <c r="E66" i="3"/>
  <c r="T61" i="3"/>
  <c r="T62" i="3" s="1"/>
  <c r="S61" i="3"/>
  <c r="S62" i="3" s="1"/>
  <c r="R61" i="3"/>
  <c r="R62" i="3" s="1"/>
  <c r="Q61" i="3"/>
  <c r="Q62" i="3" s="1"/>
  <c r="P61" i="3"/>
  <c r="P62" i="3" s="1"/>
  <c r="O61" i="3"/>
  <c r="O62" i="3" s="1"/>
  <c r="N61" i="3"/>
  <c r="N62" i="3" s="1"/>
  <c r="M61" i="3"/>
  <c r="M62" i="3" s="1"/>
  <c r="L61" i="3"/>
  <c r="L62" i="3" s="1"/>
  <c r="K61" i="3"/>
  <c r="K62" i="3" s="1"/>
  <c r="J61" i="3"/>
  <c r="J62" i="3" s="1"/>
  <c r="I61" i="3"/>
  <c r="I62" i="3" s="1"/>
  <c r="H61" i="3"/>
  <c r="H62" i="3" s="1"/>
  <c r="G61" i="3"/>
  <c r="G62" i="3" s="1"/>
  <c r="F61" i="3"/>
  <c r="F62" i="3" s="1"/>
  <c r="E6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F52" i="3" s="1"/>
  <c r="T31" i="3"/>
  <c r="T179" i="3" s="1"/>
  <c r="T181" i="3" s="1"/>
  <c r="S31" i="3"/>
  <c r="S32" i="3" s="1"/>
  <c r="R31" i="3"/>
  <c r="R179" i="3" s="1"/>
  <c r="R181" i="3" s="1"/>
  <c r="Q31" i="3"/>
  <c r="Q32" i="3" s="1"/>
  <c r="P31" i="3"/>
  <c r="P179" i="3" s="1"/>
  <c r="P181" i="3" s="1"/>
  <c r="O31" i="3"/>
  <c r="O32" i="3" s="1"/>
  <c r="N31" i="3"/>
  <c r="N179" i="3" s="1"/>
  <c r="N181" i="3" s="1"/>
  <c r="M31" i="3"/>
  <c r="M32" i="3" s="1"/>
  <c r="L31" i="3"/>
  <c r="L179" i="3" s="1"/>
  <c r="L181" i="3" s="1"/>
  <c r="K31" i="3"/>
  <c r="K32" i="3" s="1"/>
  <c r="J31" i="3"/>
  <c r="J179" i="3" s="1"/>
  <c r="J181" i="3" s="1"/>
  <c r="I31" i="3"/>
  <c r="I32" i="3" s="1"/>
  <c r="H31" i="3"/>
  <c r="H179" i="3" s="1"/>
  <c r="H181" i="3" s="1"/>
  <c r="G31" i="3"/>
  <c r="G32" i="3" s="1"/>
  <c r="F31" i="3"/>
  <c r="F179" i="3" s="1"/>
  <c r="F181" i="3" s="1"/>
  <c r="E31" i="3"/>
  <c r="T26" i="3"/>
  <c r="T27" i="3" s="1"/>
  <c r="S26" i="3"/>
  <c r="S176" i="3" s="1"/>
  <c r="S178" i="3" s="1"/>
  <c r="R26" i="3"/>
  <c r="R27" i="3" s="1"/>
  <c r="Q26" i="3"/>
  <c r="Q176" i="3" s="1"/>
  <c r="Q178" i="3" s="1"/>
  <c r="P26" i="3"/>
  <c r="P27" i="3" s="1"/>
  <c r="O26" i="3"/>
  <c r="O176" i="3" s="1"/>
  <c r="O178" i="3" s="1"/>
  <c r="N26" i="3"/>
  <c r="N27" i="3" s="1"/>
  <c r="M26" i="3"/>
  <c r="M176" i="3" s="1"/>
  <c r="M178" i="3" s="1"/>
  <c r="L26" i="3"/>
  <c r="L27" i="3" s="1"/>
  <c r="K26" i="3"/>
  <c r="K176" i="3" s="1"/>
  <c r="K178" i="3" s="1"/>
  <c r="J26" i="3"/>
  <c r="J27" i="3" s="1"/>
  <c r="I26" i="3"/>
  <c r="I176" i="3" s="1"/>
  <c r="I178" i="3" s="1"/>
  <c r="H26" i="3"/>
  <c r="H27" i="3" s="1"/>
  <c r="G26" i="3"/>
  <c r="F26" i="3"/>
  <c r="F27" i="3" s="1"/>
  <c r="E26" i="3"/>
  <c r="T14" i="3"/>
  <c r="T173" i="3" s="1"/>
  <c r="S14" i="3"/>
  <c r="S15" i="3" s="1"/>
  <c r="R14" i="3"/>
  <c r="R173" i="3" s="1"/>
  <c r="Q14" i="3"/>
  <c r="Q15" i="3" s="1"/>
  <c r="P14" i="3"/>
  <c r="P173" i="3" s="1"/>
  <c r="O14" i="3"/>
  <c r="O173" i="3" s="1"/>
  <c r="N14" i="3"/>
  <c r="N173" i="3" s="1"/>
  <c r="M14" i="3"/>
  <c r="M173" i="3" s="1"/>
  <c r="L14" i="3"/>
  <c r="L173" i="3" s="1"/>
  <c r="K14" i="3"/>
  <c r="K173" i="3" s="1"/>
  <c r="J14" i="3"/>
  <c r="J173" i="3" s="1"/>
  <c r="I14" i="3"/>
  <c r="I173" i="3" s="1"/>
  <c r="H14" i="3"/>
  <c r="H173" i="3" s="1"/>
  <c r="G14" i="3"/>
  <c r="G173" i="3" s="1"/>
  <c r="F14" i="3"/>
  <c r="F173" i="3" s="1"/>
  <c r="E14" i="3"/>
  <c r="G167" i="5" l="1"/>
  <c r="G169" i="5" s="1"/>
  <c r="I167" i="5"/>
  <c r="I169" i="5" s="1"/>
  <c r="K167" i="5"/>
  <c r="K169" i="5" s="1"/>
  <c r="M167" i="5"/>
  <c r="M169" i="5" s="1"/>
  <c r="O167" i="5"/>
  <c r="O169" i="5" s="1"/>
  <c r="Q167" i="5"/>
  <c r="Q169" i="5" s="1"/>
  <c r="S167" i="5"/>
  <c r="S169" i="5" s="1"/>
  <c r="G166" i="5"/>
  <c r="K166" i="5"/>
  <c r="O166" i="5"/>
  <c r="S166" i="5"/>
  <c r="R280" i="5"/>
  <c r="R282" i="5" s="1"/>
  <c r="G350" i="5"/>
  <c r="G352" i="5" s="1"/>
  <c r="I350" i="5"/>
  <c r="I352" i="5" s="1"/>
  <c r="K350" i="5"/>
  <c r="K352" i="5" s="1"/>
  <c r="M350" i="5"/>
  <c r="M352" i="5" s="1"/>
  <c r="O350" i="5"/>
  <c r="O352" i="5" s="1"/>
  <c r="Q350" i="5"/>
  <c r="Q352" i="5" s="1"/>
  <c r="S350" i="5"/>
  <c r="S352" i="5" s="1"/>
  <c r="I166" i="5"/>
  <c r="M166" i="5"/>
  <c r="Q166" i="5"/>
  <c r="J280" i="5"/>
  <c r="J282" i="5" s="1"/>
  <c r="F50" i="5"/>
  <c r="J50" i="5"/>
  <c r="N50" i="5"/>
  <c r="R50" i="5"/>
  <c r="H50" i="5"/>
  <c r="L50" i="5"/>
  <c r="P50" i="5"/>
  <c r="T50" i="5"/>
  <c r="G170" i="5"/>
  <c r="I170" i="5"/>
  <c r="K170" i="5"/>
  <c r="M170" i="5"/>
  <c r="O170" i="5"/>
  <c r="Q170" i="5"/>
  <c r="S170" i="5"/>
  <c r="G176" i="3"/>
  <c r="G178" i="3" s="1"/>
  <c r="G172" i="5"/>
  <c r="I172" i="5"/>
  <c r="K172" i="5"/>
  <c r="M172" i="5"/>
  <c r="O172" i="5"/>
  <c r="Q172" i="5"/>
  <c r="S172" i="5"/>
  <c r="F176" i="5"/>
  <c r="F178" i="5" s="1"/>
  <c r="F31" i="5"/>
  <c r="H32" i="5"/>
  <c r="H34" i="5" s="1"/>
  <c r="L32" i="5"/>
  <c r="L34" i="5" s="1"/>
  <c r="P32" i="5"/>
  <c r="P34" i="5" s="1"/>
  <c r="T32" i="5"/>
  <c r="T34" i="5" s="1"/>
  <c r="I66" i="5"/>
  <c r="I68" i="5" s="1"/>
  <c r="M66" i="5"/>
  <c r="M68" i="5" s="1"/>
  <c r="Q66" i="5"/>
  <c r="Q68" i="5" s="1"/>
  <c r="G100" i="5"/>
  <c r="G102" i="5" s="1"/>
  <c r="I100" i="5"/>
  <c r="I102" i="5" s="1"/>
  <c r="K100" i="5"/>
  <c r="K102" i="5" s="1"/>
  <c r="M100" i="5"/>
  <c r="M102" i="5" s="1"/>
  <c r="O100" i="5"/>
  <c r="O102" i="5" s="1"/>
  <c r="Q100" i="5"/>
  <c r="Q102" i="5" s="1"/>
  <c r="S100" i="5"/>
  <c r="S102" i="5" s="1"/>
  <c r="F15" i="5"/>
  <c r="F170" i="5"/>
  <c r="H15" i="5"/>
  <c r="H170" i="5"/>
  <c r="J15" i="5"/>
  <c r="J170" i="5"/>
  <c r="L15" i="5"/>
  <c r="L170" i="5"/>
  <c r="N15" i="5"/>
  <c r="N170" i="5"/>
  <c r="P15" i="5"/>
  <c r="P170" i="5"/>
  <c r="R15" i="5"/>
  <c r="R170" i="5"/>
  <c r="T15" i="5"/>
  <c r="T170" i="5"/>
  <c r="G173" i="5"/>
  <c r="G175" i="5" s="1"/>
  <c r="G26" i="5"/>
  <c r="I173" i="5"/>
  <c r="I175" i="5" s="1"/>
  <c r="I26" i="5"/>
  <c r="K173" i="5"/>
  <c r="K175" i="5" s="1"/>
  <c r="K26" i="5"/>
  <c r="M173" i="5"/>
  <c r="M175" i="5" s="1"/>
  <c r="M26" i="5"/>
  <c r="O173" i="5"/>
  <c r="O175" i="5" s="1"/>
  <c r="O26" i="5"/>
  <c r="Q173" i="5"/>
  <c r="Q175" i="5" s="1"/>
  <c r="Q26" i="5"/>
  <c r="S173" i="5"/>
  <c r="S175" i="5" s="1"/>
  <c r="S26" i="5"/>
  <c r="F32" i="5"/>
  <c r="F34" i="5" s="1"/>
  <c r="J32" i="5"/>
  <c r="J34" i="5" s="1"/>
  <c r="N32" i="5"/>
  <c r="N34" i="5" s="1"/>
  <c r="R32" i="5"/>
  <c r="R34" i="5" s="1"/>
  <c r="F60" i="5"/>
  <c r="F173" i="5"/>
  <c r="F175" i="5" s="1"/>
  <c r="H60" i="5"/>
  <c r="H173" i="5"/>
  <c r="H175" i="5" s="1"/>
  <c r="J60" i="5"/>
  <c r="J173" i="5"/>
  <c r="J175" i="5" s="1"/>
  <c r="L60" i="5"/>
  <c r="L173" i="5"/>
  <c r="L175" i="5" s="1"/>
  <c r="N60" i="5"/>
  <c r="N173" i="5"/>
  <c r="N175" i="5" s="1"/>
  <c r="P60" i="5"/>
  <c r="P173" i="5"/>
  <c r="P175" i="5" s="1"/>
  <c r="R60" i="5"/>
  <c r="R173" i="5"/>
  <c r="R175" i="5" s="1"/>
  <c r="T60" i="5"/>
  <c r="T173" i="5"/>
  <c r="T175" i="5" s="1"/>
  <c r="G66" i="5"/>
  <c r="G68" i="5" s="1"/>
  <c r="K66" i="5"/>
  <c r="K68" i="5" s="1"/>
  <c r="O66" i="5"/>
  <c r="O68" i="5" s="1"/>
  <c r="S66" i="5"/>
  <c r="S68" i="5" s="1"/>
  <c r="H99" i="5"/>
  <c r="H100" i="5"/>
  <c r="H102" i="5" s="1"/>
  <c r="J99" i="5"/>
  <c r="J100" i="5"/>
  <c r="J102" i="5" s="1"/>
  <c r="L99" i="5"/>
  <c r="L100" i="5"/>
  <c r="L102" i="5" s="1"/>
  <c r="N99" i="5"/>
  <c r="N100" i="5"/>
  <c r="N102" i="5" s="1"/>
  <c r="P99" i="5"/>
  <c r="P100" i="5"/>
  <c r="P102" i="5" s="1"/>
  <c r="R99" i="5"/>
  <c r="R100" i="5"/>
  <c r="R102" i="5" s="1"/>
  <c r="T99" i="5"/>
  <c r="T100" i="5"/>
  <c r="T102" i="5" s="1"/>
  <c r="F100" i="5"/>
  <c r="F102" i="5" s="1"/>
  <c r="F167" i="5"/>
  <c r="F169" i="5" s="1"/>
  <c r="H167" i="5"/>
  <c r="H169" i="5" s="1"/>
  <c r="J167" i="5"/>
  <c r="J169" i="5" s="1"/>
  <c r="L167" i="5"/>
  <c r="L169" i="5" s="1"/>
  <c r="N167" i="5"/>
  <c r="N169" i="5" s="1"/>
  <c r="P167" i="5"/>
  <c r="P169" i="5" s="1"/>
  <c r="R167" i="5"/>
  <c r="R169" i="5" s="1"/>
  <c r="T167" i="5"/>
  <c r="T169" i="5" s="1"/>
  <c r="F356" i="5"/>
  <c r="F358" i="5" s="1"/>
  <c r="F207" i="5"/>
  <c r="H356" i="5"/>
  <c r="H358" i="5" s="1"/>
  <c r="H207" i="5"/>
  <c r="J356" i="5"/>
  <c r="J358" i="5" s="1"/>
  <c r="J207" i="5"/>
  <c r="L356" i="5"/>
  <c r="L358" i="5" s="1"/>
  <c r="L207" i="5"/>
  <c r="N356" i="5"/>
  <c r="N358" i="5" s="1"/>
  <c r="N207" i="5"/>
  <c r="P356" i="5"/>
  <c r="P358" i="5" s="1"/>
  <c r="P207" i="5"/>
  <c r="R356" i="5"/>
  <c r="R358" i="5" s="1"/>
  <c r="R207" i="5"/>
  <c r="T356" i="5"/>
  <c r="T358" i="5" s="1"/>
  <c r="T207" i="5"/>
  <c r="G359" i="5"/>
  <c r="G361" i="5" s="1"/>
  <c r="G212" i="5"/>
  <c r="I359" i="5"/>
  <c r="I361" i="5" s="1"/>
  <c r="I212" i="5"/>
  <c r="K359" i="5"/>
  <c r="K361" i="5" s="1"/>
  <c r="K212" i="5"/>
  <c r="M359" i="5"/>
  <c r="M361" i="5" s="1"/>
  <c r="M212" i="5"/>
  <c r="O359" i="5"/>
  <c r="O361" i="5" s="1"/>
  <c r="O212" i="5"/>
  <c r="Q359" i="5"/>
  <c r="Q361" i="5" s="1"/>
  <c r="Q212" i="5"/>
  <c r="S359" i="5"/>
  <c r="S361" i="5" s="1"/>
  <c r="S212" i="5"/>
  <c r="G213" i="5"/>
  <c r="G215" i="5" s="1"/>
  <c r="K213" i="5"/>
  <c r="K215" i="5" s="1"/>
  <c r="O213" i="5"/>
  <c r="O215" i="5" s="1"/>
  <c r="S213" i="5"/>
  <c r="S215" i="5" s="1"/>
  <c r="G247" i="5"/>
  <c r="G249" i="5" s="1"/>
  <c r="I247" i="5"/>
  <c r="I249" i="5" s="1"/>
  <c r="K247" i="5"/>
  <c r="K249" i="5" s="1"/>
  <c r="M247" i="5"/>
  <c r="M249" i="5" s="1"/>
  <c r="O247" i="5"/>
  <c r="O249" i="5" s="1"/>
  <c r="Q247" i="5"/>
  <c r="Q249" i="5" s="1"/>
  <c r="S247" i="5"/>
  <c r="S249" i="5" s="1"/>
  <c r="H247" i="5"/>
  <c r="H249" i="5" s="1"/>
  <c r="L247" i="5"/>
  <c r="L249" i="5" s="1"/>
  <c r="P247" i="5"/>
  <c r="P249" i="5" s="1"/>
  <c r="T247" i="5"/>
  <c r="T249" i="5" s="1"/>
  <c r="I315" i="5"/>
  <c r="I316" i="5"/>
  <c r="I318" i="5" s="1"/>
  <c r="M315" i="5"/>
  <c r="M316" i="5"/>
  <c r="M318" i="5" s="1"/>
  <c r="Q315" i="5"/>
  <c r="Q316" i="5"/>
  <c r="Q318" i="5" s="1"/>
  <c r="G316" i="5"/>
  <c r="G318" i="5" s="1"/>
  <c r="O316" i="5"/>
  <c r="O318" i="5" s="1"/>
  <c r="G176" i="5"/>
  <c r="G178" i="5" s="1"/>
  <c r="I176" i="5"/>
  <c r="I178" i="5" s="1"/>
  <c r="K176" i="5"/>
  <c r="K178" i="5" s="1"/>
  <c r="M176" i="5"/>
  <c r="M178" i="5" s="1"/>
  <c r="O176" i="5"/>
  <c r="O178" i="5" s="1"/>
  <c r="Q176" i="5"/>
  <c r="Q178" i="5" s="1"/>
  <c r="S176" i="5"/>
  <c r="S178" i="5" s="1"/>
  <c r="G32" i="5"/>
  <c r="G34" i="5" s="1"/>
  <c r="I32" i="5"/>
  <c r="I34" i="5" s="1"/>
  <c r="K32" i="5"/>
  <c r="K34" i="5" s="1"/>
  <c r="M32" i="5"/>
  <c r="M34" i="5" s="1"/>
  <c r="O32" i="5"/>
  <c r="O34" i="5" s="1"/>
  <c r="Q32" i="5"/>
  <c r="Q34" i="5" s="1"/>
  <c r="S32" i="5"/>
  <c r="S34" i="5" s="1"/>
  <c r="G353" i="5"/>
  <c r="G196" i="5"/>
  <c r="I353" i="5"/>
  <c r="I196" i="5"/>
  <c r="K353" i="5"/>
  <c r="K196" i="5"/>
  <c r="M353" i="5"/>
  <c r="M196" i="5"/>
  <c r="O353" i="5"/>
  <c r="O196" i="5"/>
  <c r="Q353" i="5"/>
  <c r="Q196" i="5"/>
  <c r="S353" i="5"/>
  <c r="S196" i="5"/>
  <c r="I213" i="5"/>
  <c r="I215" i="5" s="1"/>
  <c r="M213" i="5"/>
  <c r="M215" i="5" s="1"/>
  <c r="Q213" i="5"/>
  <c r="Q215" i="5" s="1"/>
  <c r="F247" i="5"/>
  <c r="F249" i="5" s="1"/>
  <c r="J247" i="5"/>
  <c r="J249" i="5" s="1"/>
  <c r="N247" i="5"/>
  <c r="N249" i="5" s="1"/>
  <c r="R247" i="5"/>
  <c r="R249" i="5" s="1"/>
  <c r="H279" i="5"/>
  <c r="H280" i="5"/>
  <c r="H282" i="5" s="1"/>
  <c r="L279" i="5"/>
  <c r="L280" i="5"/>
  <c r="L282" i="5" s="1"/>
  <c r="P279" i="5"/>
  <c r="P280" i="5"/>
  <c r="P282" i="5" s="1"/>
  <c r="T279" i="5"/>
  <c r="T280" i="5"/>
  <c r="T282" i="5" s="1"/>
  <c r="F280" i="5"/>
  <c r="F282" i="5" s="1"/>
  <c r="N280" i="5"/>
  <c r="N282" i="5" s="1"/>
  <c r="K316" i="5"/>
  <c r="K318" i="5" s="1"/>
  <c r="S316" i="5"/>
  <c r="S318" i="5" s="1"/>
  <c r="F353" i="5"/>
  <c r="H353" i="5"/>
  <c r="J353" i="5"/>
  <c r="L353" i="5"/>
  <c r="N353" i="5"/>
  <c r="P353" i="5"/>
  <c r="R353" i="5"/>
  <c r="T353" i="5"/>
  <c r="G356" i="5"/>
  <c r="G358" i="5" s="1"/>
  <c r="I356" i="5"/>
  <c r="I358" i="5" s="1"/>
  <c r="K356" i="5"/>
  <c r="K358" i="5" s="1"/>
  <c r="M356" i="5"/>
  <c r="M358" i="5" s="1"/>
  <c r="O356" i="5"/>
  <c r="O358" i="5" s="1"/>
  <c r="Q356" i="5"/>
  <c r="Q358" i="5" s="1"/>
  <c r="S356" i="5"/>
  <c r="S358" i="5" s="1"/>
  <c r="F359" i="5"/>
  <c r="F361" i="5" s="1"/>
  <c r="H359" i="5"/>
  <c r="H361" i="5" s="1"/>
  <c r="J359" i="5"/>
  <c r="J361" i="5" s="1"/>
  <c r="L359" i="5"/>
  <c r="L361" i="5" s="1"/>
  <c r="N359" i="5"/>
  <c r="N361" i="5" s="1"/>
  <c r="P359" i="5"/>
  <c r="P361" i="5" s="1"/>
  <c r="R359" i="5"/>
  <c r="R361" i="5" s="1"/>
  <c r="T359" i="5"/>
  <c r="T361" i="5" s="1"/>
  <c r="F213" i="5"/>
  <c r="F215" i="5" s="1"/>
  <c r="H213" i="5"/>
  <c r="H215" i="5" s="1"/>
  <c r="J213" i="5"/>
  <c r="J215" i="5" s="1"/>
  <c r="L213" i="5"/>
  <c r="L215" i="5" s="1"/>
  <c r="N213" i="5"/>
  <c r="N215" i="5" s="1"/>
  <c r="P213" i="5"/>
  <c r="P215" i="5" s="1"/>
  <c r="R213" i="5"/>
  <c r="R215" i="5" s="1"/>
  <c r="T213" i="5"/>
  <c r="T215" i="5" s="1"/>
  <c r="G280" i="5"/>
  <c r="G282" i="5" s="1"/>
  <c r="I280" i="5"/>
  <c r="I282" i="5" s="1"/>
  <c r="K280" i="5"/>
  <c r="K282" i="5" s="1"/>
  <c r="M280" i="5"/>
  <c r="M282" i="5" s="1"/>
  <c r="O280" i="5"/>
  <c r="O282" i="5" s="1"/>
  <c r="Q280" i="5"/>
  <c r="Q282" i="5" s="1"/>
  <c r="S280" i="5"/>
  <c r="S282" i="5" s="1"/>
  <c r="F316" i="5"/>
  <c r="F318" i="5" s="1"/>
  <c r="H316" i="5"/>
  <c r="H318" i="5" s="1"/>
  <c r="J316" i="5"/>
  <c r="J318" i="5" s="1"/>
  <c r="L316" i="5"/>
  <c r="L318" i="5" s="1"/>
  <c r="N316" i="5"/>
  <c r="N318" i="5" s="1"/>
  <c r="P316" i="5"/>
  <c r="P318" i="5" s="1"/>
  <c r="R316" i="5"/>
  <c r="R318" i="5" s="1"/>
  <c r="T316" i="5"/>
  <c r="T318" i="5" s="1"/>
  <c r="G349" i="5"/>
  <c r="I349" i="5"/>
  <c r="K349" i="5"/>
  <c r="M349" i="5"/>
  <c r="O349" i="5"/>
  <c r="Q349" i="5"/>
  <c r="S349" i="5"/>
  <c r="F350" i="5"/>
  <c r="F352" i="5" s="1"/>
  <c r="H350" i="5"/>
  <c r="H352" i="5" s="1"/>
  <c r="J350" i="5"/>
  <c r="J352" i="5" s="1"/>
  <c r="L350" i="5"/>
  <c r="L352" i="5" s="1"/>
  <c r="N350" i="5"/>
  <c r="N352" i="5" s="1"/>
  <c r="P350" i="5"/>
  <c r="P352" i="5" s="1"/>
  <c r="R350" i="5"/>
  <c r="R352" i="5" s="1"/>
  <c r="T350" i="5"/>
  <c r="T352" i="5" s="1"/>
  <c r="K5" i="4"/>
  <c r="K58" i="4"/>
  <c r="K80" i="4"/>
  <c r="K104" i="4"/>
  <c r="H250" i="4"/>
  <c r="K254" i="4"/>
  <c r="K94" i="4"/>
  <c r="K326" i="4"/>
  <c r="K137" i="4"/>
  <c r="O15" i="3"/>
  <c r="I15" i="3"/>
  <c r="M15" i="3"/>
  <c r="F68" i="3"/>
  <c r="F70" i="3" s="1"/>
  <c r="H68" i="3"/>
  <c r="H70" i="3" s="1"/>
  <c r="J68" i="3"/>
  <c r="J70" i="3" s="1"/>
  <c r="L68" i="3"/>
  <c r="L70" i="3" s="1"/>
  <c r="N68" i="3"/>
  <c r="N70" i="3" s="1"/>
  <c r="P68" i="3"/>
  <c r="P70" i="3" s="1"/>
  <c r="R68" i="3"/>
  <c r="R70" i="3" s="1"/>
  <c r="T68" i="3"/>
  <c r="T70" i="3" s="1"/>
  <c r="H67" i="3"/>
  <c r="L67" i="3"/>
  <c r="P67" i="3"/>
  <c r="T67" i="3"/>
  <c r="G103" i="3"/>
  <c r="G105" i="3" s="1"/>
  <c r="I103" i="3"/>
  <c r="I105" i="3" s="1"/>
  <c r="K103" i="3"/>
  <c r="K105" i="3" s="1"/>
  <c r="M103" i="3"/>
  <c r="M105" i="3" s="1"/>
  <c r="O103" i="3"/>
  <c r="O105" i="3" s="1"/>
  <c r="Q103" i="3"/>
  <c r="Q105" i="3" s="1"/>
  <c r="S103" i="3"/>
  <c r="S105" i="3" s="1"/>
  <c r="G102" i="3"/>
  <c r="K102" i="3"/>
  <c r="O102" i="3"/>
  <c r="S102" i="3"/>
  <c r="F250" i="3"/>
  <c r="F252" i="3" s="1"/>
  <c r="H250" i="3"/>
  <c r="H252" i="3" s="1"/>
  <c r="J250" i="3"/>
  <c r="J252" i="3" s="1"/>
  <c r="L250" i="3"/>
  <c r="L252" i="3" s="1"/>
  <c r="N250" i="3"/>
  <c r="N252" i="3" s="1"/>
  <c r="P250" i="3"/>
  <c r="P252" i="3" s="1"/>
  <c r="R250" i="3"/>
  <c r="R252" i="3" s="1"/>
  <c r="T250" i="3"/>
  <c r="T252" i="3" s="1"/>
  <c r="G15" i="3"/>
  <c r="K15" i="3"/>
  <c r="G68" i="3"/>
  <c r="G70" i="3" s="1"/>
  <c r="I68" i="3"/>
  <c r="I70" i="3" s="1"/>
  <c r="K68" i="3"/>
  <c r="K70" i="3" s="1"/>
  <c r="M68" i="3"/>
  <c r="M70" i="3" s="1"/>
  <c r="O68" i="3"/>
  <c r="O70" i="3" s="1"/>
  <c r="Q68" i="3"/>
  <c r="Q70" i="3" s="1"/>
  <c r="S68" i="3"/>
  <c r="S70" i="3" s="1"/>
  <c r="F103" i="3"/>
  <c r="F105" i="3" s="1"/>
  <c r="H103" i="3"/>
  <c r="H105" i="3" s="1"/>
  <c r="J103" i="3"/>
  <c r="J105" i="3" s="1"/>
  <c r="L103" i="3"/>
  <c r="L105" i="3" s="1"/>
  <c r="N103" i="3"/>
  <c r="N105" i="3" s="1"/>
  <c r="P103" i="3"/>
  <c r="P105" i="3" s="1"/>
  <c r="R103" i="3"/>
  <c r="R105" i="3" s="1"/>
  <c r="T103" i="3"/>
  <c r="T105" i="3" s="1"/>
  <c r="G319" i="3"/>
  <c r="G321" i="3" s="1"/>
  <c r="I319" i="3"/>
  <c r="I321" i="3" s="1"/>
  <c r="K319" i="3"/>
  <c r="K321" i="3" s="1"/>
  <c r="M319" i="3"/>
  <c r="M321" i="3" s="1"/>
  <c r="O319" i="3"/>
  <c r="O321" i="3" s="1"/>
  <c r="Q319" i="3"/>
  <c r="Q321" i="3" s="1"/>
  <c r="S319" i="3"/>
  <c r="S321" i="3" s="1"/>
  <c r="K33" i="4"/>
  <c r="K64" i="4"/>
  <c r="K121" i="4"/>
  <c r="K150" i="4"/>
  <c r="H162" i="4"/>
  <c r="K220" i="4"/>
  <c r="K300" i="4"/>
  <c r="K315" i="4"/>
  <c r="B4" i="4"/>
  <c r="H166" i="4"/>
  <c r="H191" i="4"/>
  <c r="K195" i="4"/>
  <c r="H246" i="4"/>
  <c r="K292" i="4"/>
  <c r="K107" i="2"/>
  <c r="K115" i="4"/>
  <c r="H164" i="4"/>
  <c r="H168" i="4"/>
  <c r="H189" i="4"/>
  <c r="K206" i="4"/>
  <c r="K228" i="4"/>
  <c r="H244" i="4"/>
  <c r="H248" i="4"/>
  <c r="K267" i="4"/>
  <c r="K163" i="4"/>
  <c r="K165" i="4"/>
  <c r="K167" i="4"/>
  <c r="K188" i="4"/>
  <c r="K190" i="4"/>
  <c r="K192" i="4"/>
  <c r="K243" i="4"/>
  <c r="K245" i="4"/>
  <c r="K247" i="4"/>
  <c r="K249" i="4"/>
  <c r="K251" i="4"/>
  <c r="F136" i="3"/>
  <c r="F138" i="3" s="1"/>
  <c r="H136" i="3"/>
  <c r="H138" i="3" s="1"/>
  <c r="J136" i="3"/>
  <c r="J138" i="3" s="1"/>
  <c r="L136" i="3"/>
  <c r="L138" i="3" s="1"/>
  <c r="N136" i="3"/>
  <c r="N138" i="3" s="1"/>
  <c r="P136" i="3"/>
  <c r="P138" i="3" s="1"/>
  <c r="R136" i="3"/>
  <c r="R138" i="3" s="1"/>
  <c r="T136" i="3"/>
  <c r="T138" i="3" s="1"/>
  <c r="G136" i="3"/>
  <c r="G138" i="3" s="1"/>
  <c r="I136" i="3"/>
  <c r="I138" i="3" s="1"/>
  <c r="K136" i="3"/>
  <c r="K138" i="3" s="1"/>
  <c r="M136" i="3"/>
  <c r="M138" i="3" s="1"/>
  <c r="O136" i="3"/>
  <c r="O138" i="3" s="1"/>
  <c r="Q136" i="3"/>
  <c r="Q138" i="3" s="1"/>
  <c r="S136" i="3"/>
  <c r="S138" i="3" s="1"/>
  <c r="H175" i="3"/>
  <c r="L175" i="3"/>
  <c r="P175" i="3"/>
  <c r="T175" i="3"/>
  <c r="G175" i="3"/>
  <c r="I175" i="3"/>
  <c r="K175" i="3"/>
  <c r="M175" i="3"/>
  <c r="O175" i="3"/>
  <c r="Q173" i="3"/>
  <c r="S173" i="3"/>
  <c r="F15" i="3"/>
  <c r="H15" i="3"/>
  <c r="J15" i="3"/>
  <c r="L15" i="3"/>
  <c r="N15" i="3"/>
  <c r="P15" i="3"/>
  <c r="R15" i="3"/>
  <c r="T15" i="3"/>
  <c r="F176" i="3"/>
  <c r="F178" i="3" s="1"/>
  <c r="H176" i="3"/>
  <c r="H178" i="3" s="1"/>
  <c r="J176" i="3"/>
  <c r="J178" i="3" s="1"/>
  <c r="L176" i="3"/>
  <c r="L178" i="3" s="1"/>
  <c r="N176" i="3"/>
  <c r="N178" i="3" s="1"/>
  <c r="P176" i="3"/>
  <c r="P178" i="3" s="1"/>
  <c r="R176" i="3"/>
  <c r="R178" i="3" s="1"/>
  <c r="T176" i="3"/>
  <c r="T178" i="3" s="1"/>
  <c r="G27" i="3"/>
  <c r="I27" i="3"/>
  <c r="K27" i="3"/>
  <c r="M27" i="3"/>
  <c r="O27" i="3"/>
  <c r="Q27" i="3"/>
  <c r="S27" i="3"/>
  <c r="G179" i="3"/>
  <c r="G181" i="3" s="1"/>
  <c r="I179" i="3"/>
  <c r="I181" i="3" s="1"/>
  <c r="K179" i="3"/>
  <c r="K181" i="3" s="1"/>
  <c r="M179" i="3"/>
  <c r="M181" i="3" s="1"/>
  <c r="O179" i="3"/>
  <c r="O181" i="3" s="1"/>
  <c r="Q179" i="3"/>
  <c r="Q181" i="3" s="1"/>
  <c r="S179" i="3"/>
  <c r="S181" i="3" s="1"/>
  <c r="F32" i="3"/>
  <c r="H32" i="3"/>
  <c r="J32" i="3"/>
  <c r="L32" i="3"/>
  <c r="N32" i="3"/>
  <c r="P32" i="3"/>
  <c r="R32" i="3"/>
  <c r="T32" i="3"/>
  <c r="G34" i="3"/>
  <c r="G36" i="3" s="1"/>
  <c r="I34" i="3"/>
  <c r="I36" i="3" s="1"/>
  <c r="K34" i="3"/>
  <c r="K36" i="3" s="1"/>
  <c r="M34" i="3"/>
  <c r="M36" i="3" s="1"/>
  <c r="O34" i="3"/>
  <c r="O36" i="3" s="1"/>
  <c r="Q34" i="3"/>
  <c r="Q36" i="3" s="1"/>
  <c r="S34" i="3"/>
  <c r="S36" i="3" s="1"/>
  <c r="G67" i="3"/>
  <c r="I67" i="3"/>
  <c r="K67" i="3"/>
  <c r="M67" i="3"/>
  <c r="O67" i="3"/>
  <c r="Q67" i="3"/>
  <c r="S67" i="3"/>
  <c r="F102" i="3"/>
  <c r="H102" i="3"/>
  <c r="J102" i="3"/>
  <c r="L102" i="3"/>
  <c r="N102" i="3"/>
  <c r="P102" i="3"/>
  <c r="R102" i="3"/>
  <c r="T102" i="3"/>
  <c r="G135" i="3"/>
  <c r="I135" i="3"/>
  <c r="K135" i="3"/>
  <c r="M135" i="3"/>
  <c r="O135" i="3"/>
  <c r="Q135" i="3"/>
  <c r="S135" i="3"/>
  <c r="G170" i="3"/>
  <c r="G172" i="3" s="1"/>
  <c r="I170" i="3"/>
  <c r="I172" i="3" s="1"/>
  <c r="K170" i="3"/>
  <c r="K172" i="3" s="1"/>
  <c r="M170" i="3"/>
  <c r="M172" i="3" s="1"/>
  <c r="O169" i="3"/>
  <c r="O170" i="3"/>
  <c r="O172" i="3" s="1"/>
  <c r="Q169" i="3"/>
  <c r="Q170" i="3"/>
  <c r="Q172" i="3" s="1"/>
  <c r="S169" i="3"/>
  <c r="S170" i="3"/>
  <c r="S172" i="3" s="1"/>
  <c r="F182" i="3"/>
  <c r="F184" i="3" s="1"/>
  <c r="F175" i="3"/>
  <c r="J182" i="3"/>
  <c r="J184" i="3" s="1"/>
  <c r="J175" i="3"/>
  <c r="N182" i="3"/>
  <c r="N184" i="3" s="1"/>
  <c r="N175" i="3"/>
  <c r="R182" i="3"/>
  <c r="R184" i="3" s="1"/>
  <c r="R175" i="3"/>
  <c r="F34" i="3"/>
  <c r="F36" i="3" s="1"/>
  <c r="H34" i="3"/>
  <c r="H36" i="3" s="1"/>
  <c r="J34" i="3"/>
  <c r="J36" i="3" s="1"/>
  <c r="L34" i="3"/>
  <c r="L36" i="3" s="1"/>
  <c r="N34" i="3"/>
  <c r="N36" i="3" s="1"/>
  <c r="P34" i="3"/>
  <c r="P36" i="3" s="1"/>
  <c r="R34" i="3"/>
  <c r="R36" i="3" s="1"/>
  <c r="T34" i="3"/>
  <c r="T36" i="3" s="1"/>
  <c r="F170" i="3"/>
  <c r="F172" i="3" s="1"/>
  <c r="H170" i="3"/>
  <c r="H172" i="3" s="1"/>
  <c r="J170" i="3"/>
  <c r="J172" i="3" s="1"/>
  <c r="L170" i="3"/>
  <c r="L172" i="3" s="1"/>
  <c r="N170" i="3"/>
  <c r="N172" i="3" s="1"/>
  <c r="N169" i="3"/>
  <c r="P170" i="3"/>
  <c r="P172" i="3" s="1"/>
  <c r="P169" i="3"/>
  <c r="R170" i="3"/>
  <c r="R172" i="3" s="1"/>
  <c r="R169" i="3"/>
  <c r="T170" i="3"/>
  <c r="T172" i="3" s="1"/>
  <c r="T169" i="3"/>
  <c r="F359" i="3"/>
  <c r="H359" i="3"/>
  <c r="J359" i="3"/>
  <c r="L359" i="3"/>
  <c r="N359" i="3"/>
  <c r="P359" i="3"/>
  <c r="R359" i="3"/>
  <c r="T359" i="3"/>
  <c r="G199" i="3"/>
  <c r="I199" i="3"/>
  <c r="K199" i="3"/>
  <c r="M199" i="3"/>
  <c r="O199" i="3"/>
  <c r="Q199" i="3"/>
  <c r="S199" i="3"/>
  <c r="G215" i="3"/>
  <c r="I215" i="3"/>
  <c r="K215" i="3"/>
  <c r="M215" i="3"/>
  <c r="O215" i="3"/>
  <c r="Q215" i="3"/>
  <c r="S215" i="3"/>
  <c r="F216" i="3"/>
  <c r="F218" i="3" s="1"/>
  <c r="H216" i="3"/>
  <c r="H218" i="3" s="1"/>
  <c r="J216" i="3"/>
  <c r="J218" i="3" s="1"/>
  <c r="L216" i="3"/>
  <c r="L218" i="3" s="1"/>
  <c r="N216" i="3"/>
  <c r="N218" i="3" s="1"/>
  <c r="P216" i="3"/>
  <c r="P218" i="3" s="1"/>
  <c r="R216" i="3"/>
  <c r="R218" i="3" s="1"/>
  <c r="T216" i="3"/>
  <c r="T218" i="3" s="1"/>
  <c r="F249" i="3"/>
  <c r="H249" i="3"/>
  <c r="J249" i="3"/>
  <c r="L249" i="3"/>
  <c r="N249" i="3"/>
  <c r="P249" i="3"/>
  <c r="R249" i="3"/>
  <c r="T249" i="3"/>
  <c r="G250" i="3"/>
  <c r="G252" i="3" s="1"/>
  <c r="I250" i="3"/>
  <c r="I252" i="3" s="1"/>
  <c r="K250" i="3"/>
  <c r="K252" i="3" s="1"/>
  <c r="M250" i="3"/>
  <c r="M252" i="3" s="1"/>
  <c r="O250" i="3"/>
  <c r="O252" i="3" s="1"/>
  <c r="Q250" i="3"/>
  <c r="Q252" i="3" s="1"/>
  <c r="S250" i="3"/>
  <c r="S252" i="3" s="1"/>
  <c r="F283" i="3"/>
  <c r="F285" i="3" s="1"/>
  <c r="H283" i="3"/>
  <c r="H285" i="3" s="1"/>
  <c r="J283" i="3"/>
  <c r="J285" i="3" s="1"/>
  <c r="L283" i="3"/>
  <c r="L285" i="3" s="1"/>
  <c r="L282" i="3"/>
  <c r="N283" i="3"/>
  <c r="N285" i="3" s="1"/>
  <c r="N282" i="3"/>
  <c r="P283" i="3"/>
  <c r="P285" i="3" s="1"/>
  <c r="P282" i="3"/>
  <c r="R283" i="3"/>
  <c r="R285" i="3" s="1"/>
  <c r="R282" i="3"/>
  <c r="T283" i="3"/>
  <c r="T285" i="3" s="1"/>
  <c r="T282" i="3"/>
  <c r="H282" i="3"/>
  <c r="G359" i="3"/>
  <c r="I359" i="3"/>
  <c r="K359" i="3"/>
  <c r="M359" i="3"/>
  <c r="O359" i="3"/>
  <c r="Q359" i="3"/>
  <c r="S359" i="3"/>
  <c r="F199" i="3"/>
  <c r="H199" i="3"/>
  <c r="J199" i="3"/>
  <c r="L199" i="3"/>
  <c r="N199" i="3"/>
  <c r="P199" i="3"/>
  <c r="R199" i="3"/>
  <c r="T199" i="3"/>
  <c r="F215" i="3"/>
  <c r="H215" i="3"/>
  <c r="J215" i="3"/>
  <c r="L215" i="3"/>
  <c r="N215" i="3"/>
  <c r="P215" i="3"/>
  <c r="R215" i="3"/>
  <c r="T215" i="3"/>
  <c r="G216" i="3"/>
  <c r="G218" i="3" s="1"/>
  <c r="I216" i="3"/>
  <c r="I218" i="3" s="1"/>
  <c r="K216" i="3"/>
  <c r="K218" i="3" s="1"/>
  <c r="M216" i="3"/>
  <c r="M218" i="3" s="1"/>
  <c r="O216" i="3"/>
  <c r="O218" i="3" s="1"/>
  <c r="Q216" i="3"/>
  <c r="Q218" i="3" s="1"/>
  <c r="S216" i="3"/>
  <c r="S218" i="3" s="1"/>
  <c r="G282" i="3"/>
  <c r="G283" i="3"/>
  <c r="G285" i="3" s="1"/>
  <c r="I282" i="3"/>
  <c r="I283" i="3"/>
  <c r="I285" i="3" s="1"/>
  <c r="K282" i="3"/>
  <c r="K283" i="3"/>
  <c r="K285" i="3" s="1"/>
  <c r="M282" i="3"/>
  <c r="M283" i="3"/>
  <c r="M285" i="3" s="1"/>
  <c r="O282" i="3"/>
  <c r="O283" i="3"/>
  <c r="O285" i="3" s="1"/>
  <c r="Q282" i="3"/>
  <c r="Q283" i="3"/>
  <c r="Q285" i="3" s="1"/>
  <c r="S282" i="3"/>
  <c r="S283" i="3"/>
  <c r="S285" i="3" s="1"/>
  <c r="F282" i="3"/>
  <c r="J282" i="3"/>
  <c r="G318" i="3"/>
  <c r="I318" i="3"/>
  <c r="K318" i="3"/>
  <c r="M318" i="3"/>
  <c r="O318" i="3"/>
  <c r="Q318" i="3"/>
  <c r="S318" i="3"/>
  <c r="F319" i="3"/>
  <c r="F321" i="3" s="1"/>
  <c r="H319" i="3"/>
  <c r="H321" i="3" s="1"/>
  <c r="J319" i="3"/>
  <c r="J321" i="3" s="1"/>
  <c r="L319" i="3"/>
  <c r="L321" i="3" s="1"/>
  <c r="N319" i="3"/>
  <c r="N321" i="3" s="1"/>
  <c r="P319" i="3"/>
  <c r="P321" i="3" s="1"/>
  <c r="R319" i="3"/>
  <c r="R321" i="3" s="1"/>
  <c r="T319" i="3"/>
  <c r="T321" i="3" s="1"/>
  <c r="G360" i="3"/>
  <c r="G362" i="3" s="1"/>
  <c r="I360" i="3"/>
  <c r="I362" i="3" s="1"/>
  <c r="K360" i="3"/>
  <c r="K362" i="3" s="1"/>
  <c r="M360" i="3"/>
  <c r="M362" i="3" s="1"/>
  <c r="O360" i="3"/>
  <c r="O362" i="3" s="1"/>
  <c r="Q360" i="3"/>
  <c r="Q362" i="3" s="1"/>
  <c r="S360" i="3"/>
  <c r="S362" i="3" s="1"/>
  <c r="G354" i="3"/>
  <c r="G356" i="3" s="1"/>
  <c r="I354" i="3"/>
  <c r="I356" i="3" s="1"/>
  <c r="K354" i="3"/>
  <c r="K356" i="3" s="1"/>
  <c r="M354" i="3"/>
  <c r="M356" i="3" s="1"/>
  <c r="O354" i="3"/>
  <c r="O356" i="3" s="1"/>
  <c r="Q354" i="3"/>
  <c r="Q356" i="3" s="1"/>
  <c r="S354" i="3"/>
  <c r="S356" i="3" s="1"/>
  <c r="F360" i="3"/>
  <c r="F362" i="3" s="1"/>
  <c r="H360" i="3"/>
  <c r="H362" i="3" s="1"/>
  <c r="J360" i="3"/>
  <c r="J362" i="3" s="1"/>
  <c r="L360" i="3"/>
  <c r="L362" i="3" s="1"/>
  <c r="N360" i="3"/>
  <c r="N362" i="3" s="1"/>
  <c r="P360" i="3"/>
  <c r="P362" i="3" s="1"/>
  <c r="R360" i="3"/>
  <c r="R362" i="3" s="1"/>
  <c r="T360" i="3"/>
  <c r="T362" i="3" s="1"/>
  <c r="G338" i="3"/>
  <c r="I338" i="3"/>
  <c r="K338" i="3"/>
  <c r="M338" i="3"/>
  <c r="O338" i="3"/>
  <c r="Q338" i="3"/>
  <c r="S338" i="3"/>
  <c r="F353" i="3"/>
  <c r="F354" i="3"/>
  <c r="H353" i="3"/>
  <c r="H354" i="3"/>
  <c r="H356" i="3" s="1"/>
  <c r="G353" i="3"/>
  <c r="I353" i="3"/>
  <c r="K353" i="3"/>
  <c r="M353" i="3"/>
  <c r="O353" i="3"/>
  <c r="Q353" i="3"/>
  <c r="S353" i="3"/>
  <c r="J354" i="3"/>
  <c r="J356" i="3" s="1"/>
  <c r="L354" i="3"/>
  <c r="L356" i="3" s="1"/>
  <c r="N354" i="3"/>
  <c r="N356" i="3" s="1"/>
  <c r="P354" i="3"/>
  <c r="P356" i="3" s="1"/>
  <c r="R354" i="3"/>
  <c r="R356" i="3" s="1"/>
  <c r="T354" i="3"/>
  <c r="T356" i="3" s="1"/>
  <c r="R355" i="5" l="1"/>
  <c r="R362" i="5"/>
  <c r="R364" i="5" s="1"/>
  <c r="N355" i="5"/>
  <c r="N362" i="5"/>
  <c r="N364" i="5" s="1"/>
  <c r="J355" i="5"/>
  <c r="J362" i="5"/>
  <c r="J364" i="5" s="1"/>
  <c r="F355" i="5"/>
  <c r="F362" i="5"/>
  <c r="F364" i="5" s="1"/>
  <c r="T179" i="5"/>
  <c r="T181" i="5" s="1"/>
  <c r="T172" i="5"/>
  <c r="R172" i="5"/>
  <c r="R179" i="5"/>
  <c r="R181" i="5" s="1"/>
  <c r="P179" i="5"/>
  <c r="P181" i="5" s="1"/>
  <c r="P172" i="5"/>
  <c r="N172" i="5"/>
  <c r="N179" i="5"/>
  <c r="N181" i="5" s="1"/>
  <c r="L179" i="5"/>
  <c r="L181" i="5" s="1"/>
  <c r="L172" i="5"/>
  <c r="J172" i="5"/>
  <c r="J179" i="5"/>
  <c r="J181" i="5" s="1"/>
  <c r="H179" i="5"/>
  <c r="H181" i="5" s="1"/>
  <c r="H172" i="5"/>
  <c r="F172" i="5"/>
  <c r="F179" i="5"/>
  <c r="F181" i="5" s="1"/>
  <c r="T355" i="5"/>
  <c r="T362" i="5"/>
  <c r="T364" i="5" s="1"/>
  <c r="P355" i="5"/>
  <c r="P362" i="5"/>
  <c r="P364" i="5" s="1"/>
  <c r="L355" i="5"/>
  <c r="L362" i="5"/>
  <c r="L364" i="5" s="1"/>
  <c r="H355" i="5"/>
  <c r="H362" i="5"/>
  <c r="H364" i="5" s="1"/>
  <c r="S362" i="5"/>
  <c r="S364" i="5" s="1"/>
  <c r="S355" i="5"/>
  <c r="Q362" i="5"/>
  <c r="Q364" i="5" s="1"/>
  <c r="Q355" i="5"/>
  <c r="O362" i="5"/>
  <c r="O364" i="5" s="1"/>
  <c r="O355" i="5"/>
  <c r="M362" i="5"/>
  <c r="M364" i="5" s="1"/>
  <c r="M355" i="5"/>
  <c r="K362" i="5"/>
  <c r="K364" i="5" s="1"/>
  <c r="K355" i="5"/>
  <c r="I362" i="5"/>
  <c r="I364" i="5" s="1"/>
  <c r="I355" i="5"/>
  <c r="G362" i="5"/>
  <c r="G364" i="5" s="1"/>
  <c r="G355" i="5"/>
  <c r="S179" i="5"/>
  <c r="S181" i="5" s="1"/>
  <c r="Q179" i="5"/>
  <c r="Q181" i="5" s="1"/>
  <c r="O179" i="5"/>
  <c r="O181" i="5" s="1"/>
  <c r="M179" i="5"/>
  <c r="M181" i="5" s="1"/>
  <c r="K179" i="5"/>
  <c r="K181" i="5" s="1"/>
  <c r="I179" i="5"/>
  <c r="I181" i="5" s="1"/>
  <c r="G179" i="5"/>
  <c r="G181" i="5" s="1"/>
  <c r="B75" i="4"/>
  <c r="B102" i="4"/>
  <c r="B130" i="4"/>
  <c r="B205" i="4"/>
  <c r="B29" i="4"/>
  <c r="K159" i="4"/>
  <c r="B157" i="4" s="1"/>
  <c r="K242" i="4"/>
  <c r="B236" i="4" s="1"/>
  <c r="K187" i="4"/>
  <c r="B183" i="4" s="1"/>
  <c r="S175" i="3"/>
  <c r="S182" i="3"/>
  <c r="S184" i="3" s="1"/>
  <c r="O182" i="3"/>
  <c r="O184" i="3" s="1"/>
  <c r="M182" i="3"/>
  <c r="M184" i="3" s="1"/>
  <c r="K182" i="3"/>
  <c r="K184" i="3" s="1"/>
  <c r="I182" i="3"/>
  <c r="I184" i="3" s="1"/>
  <c r="G182" i="3"/>
  <c r="G184" i="3" s="1"/>
  <c r="S366" i="3"/>
  <c r="S368" i="3" s="1"/>
  <c r="Q366" i="3"/>
  <c r="Q368" i="3" s="1"/>
  <c r="O366" i="3"/>
  <c r="O368" i="3" s="1"/>
  <c r="M366" i="3"/>
  <c r="M368" i="3" s="1"/>
  <c r="K366" i="3"/>
  <c r="K368" i="3" s="1"/>
  <c r="I366" i="3"/>
  <c r="I368" i="3" s="1"/>
  <c r="G366" i="3"/>
  <c r="G368" i="3" s="1"/>
  <c r="T366" i="3"/>
  <c r="T368" i="3" s="1"/>
  <c r="R366" i="3"/>
  <c r="R368" i="3" s="1"/>
  <c r="P366" i="3"/>
  <c r="P368" i="3" s="1"/>
  <c r="N366" i="3"/>
  <c r="N368" i="3" s="1"/>
  <c r="L366" i="3"/>
  <c r="L368" i="3" s="1"/>
  <c r="J366" i="3"/>
  <c r="J368" i="3" s="1"/>
  <c r="H366" i="3"/>
  <c r="H368" i="3" s="1"/>
  <c r="F368" i="3"/>
  <c r="Q175" i="3"/>
  <c r="Q182" i="3"/>
  <c r="Q184" i="3" s="1"/>
  <c r="T182" i="3"/>
  <c r="T184" i="3" s="1"/>
  <c r="P182" i="3"/>
  <c r="P184" i="3" s="1"/>
  <c r="L182" i="3"/>
  <c r="L184" i="3" s="1"/>
  <c r="H182" i="3"/>
  <c r="H184" i="3" s="1"/>
  <c r="B2" i="4" l="1"/>
  <c r="K345" i="2" l="1"/>
  <c r="K342" i="2"/>
  <c r="K341" i="2"/>
  <c r="K335" i="2"/>
  <c r="K334" i="2"/>
  <c r="H334" i="2"/>
  <c r="K333" i="2"/>
  <c r="H333" i="2"/>
  <c r="K332" i="2"/>
  <c r="H332" i="2"/>
  <c r="K331" i="2"/>
  <c r="H331" i="2"/>
  <c r="K330" i="2"/>
  <c r="H330" i="2"/>
  <c r="K327" i="2"/>
  <c r="K318" i="2"/>
  <c r="K315" i="2"/>
  <c r="K314" i="2"/>
  <c r="K313" i="2"/>
  <c r="K312" i="2"/>
  <c r="K306" i="2"/>
  <c r="K305" i="2"/>
  <c r="K304" i="2"/>
  <c r="K298" i="2"/>
  <c r="K297" i="2"/>
  <c r="K296" i="2"/>
  <c r="K295" i="2"/>
  <c r="K294" i="2"/>
  <c r="K293" i="2"/>
  <c r="K292" i="2"/>
  <c r="K291" i="2"/>
  <c r="K290" i="2"/>
  <c r="K289" i="2"/>
  <c r="K287" i="2"/>
  <c r="K286" i="2"/>
  <c r="K283" i="2"/>
  <c r="K282" i="2"/>
  <c r="K281" i="2"/>
  <c r="K280" i="2"/>
  <c r="K279" i="2"/>
  <c r="K276" i="2"/>
  <c r="K274" i="2"/>
  <c r="K270" i="2"/>
  <c r="K269" i="2"/>
  <c r="F265" i="2"/>
  <c r="K265" i="2" s="1"/>
  <c r="F264" i="2"/>
  <c r="K264" i="2" s="1"/>
  <c r="F263" i="2"/>
  <c r="K263" i="2" s="1"/>
  <c r="F262" i="2"/>
  <c r="K262" i="2" s="1"/>
  <c r="F261" i="2"/>
  <c r="K261" i="2" s="1"/>
  <c r="F260" i="2"/>
  <c r="K260" i="2" s="1"/>
  <c r="F259" i="2"/>
  <c r="K259" i="2" s="1"/>
  <c r="F258" i="2"/>
  <c r="K258" i="2" s="1"/>
  <c r="F257" i="2"/>
  <c r="K257" i="2" s="1"/>
  <c r="K253" i="2"/>
  <c r="G253" i="2"/>
  <c r="K252" i="2"/>
  <c r="B251" i="2"/>
  <c r="K247" i="2"/>
  <c r="K244" i="2"/>
  <c r="K243" i="2"/>
  <c r="K239" i="2"/>
  <c r="K238" i="2"/>
  <c r="K237" i="2"/>
  <c r="K236" i="2"/>
  <c r="K235" i="2"/>
  <c r="K227" i="2"/>
  <c r="K226" i="2"/>
  <c r="K225" i="2"/>
  <c r="K224" i="2"/>
  <c r="K223" i="2"/>
  <c r="K220" i="2"/>
  <c r="K219" i="2"/>
  <c r="K218" i="2"/>
  <c r="K217" i="2"/>
  <c r="K212" i="2"/>
  <c r="K211" i="2"/>
  <c r="K210" i="2"/>
  <c r="K209" i="2"/>
  <c r="K205" i="2"/>
  <c r="K202" i="2"/>
  <c r="K201" i="2"/>
  <c r="K200" i="2"/>
  <c r="K199" i="2"/>
  <c r="F195" i="2"/>
  <c r="K195" i="2" s="1"/>
  <c r="F194" i="2"/>
  <c r="K194" i="2" s="1"/>
  <c r="F193" i="2"/>
  <c r="K193" i="2" s="1"/>
  <c r="F192" i="2"/>
  <c r="K192" i="2" s="1"/>
  <c r="F191" i="2"/>
  <c r="K191" i="2" s="1"/>
  <c r="K190" i="2" s="1"/>
  <c r="K188" i="2"/>
  <c r="B187" i="2"/>
  <c r="K186" i="2"/>
  <c r="K183" i="2"/>
  <c r="K181" i="2"/>
  <c r="H178" i="2"/>
  <c r="F178" i="2"/>
  <c r="K178" i="2" s="1"/>
  <c r="H177" i="2"/>
  <c r="F177" i="2"/>
  <c r="K177" i="2" s="1"/>
  <c r="H176" i="2"/>
  <c r="F176" i="2"/>
  <c r="K176" i="2" s="1"/>
  <c r="H175" i="2"/>
  <c r="F175" i="2"/>
  <c r="K175" i="2" s="1"/>
  <c r="K174" i="2" s="1"/>
  <c r="F171" i="2"/>
  <c r="K171" i="2" s="1"/>
  <c r="F170" i="2"/>
  <c r="K170" i="2" s="1"/>
  <c r="F169" i="2"/>
  <c r="K169" i="2" s="1"/>
  <c r="F168" i="2"/>
  <c r="K168" i="2" s="1"/>
  <c r="F167" i="2"/>
  <c r="K167" i="2" s="1"/>
  <c r="F166" i="2"/>
  <c r="K166" i="2" s="1"/>
  <c r="F165" i="2"/>
  <c r="K165" i="2" s="1"/>
  <c r="H164" i="2"/>
  <c r="F164" i="2"/>
  <c r="K164" i="2" s="1"/>
  <c r="H163" i="2"/>
  <c r="F163" i="2"/>
  <c r="K163" i="2" s="1"/>
  <c r="K162" i="2" s="1"/>
  <c r="B160" i="2" s="1"/>
  <c r="K160" i="2"/>
  <c r="K155" i="2"/>
  <c r="K154" i="2"/>
  <c r="K151" i="2"/>
  <c r="K149" i="2"/>
  <c r="K146" i="2"/>
  <c r="K145" i="2"/>
  <c r="H145" i="2"/>
  <c r="K144" i="2"/>
  <c r="H144" i="2"/>
  <c r="K143" i="2"/>
  <c r="H143" i="2"/>
  <c r="K142" i="2"/>
  <c r="H142" i="2"/>
  <c r="K141" i="2"/>
  <c r="H141" i="2"/>
  <c r="K136" i="2"/>
  <c r="K130" i="2"/>
  <c r="K127" i="2"/>
  <c r="K126" i="2"/>
  <c r="K125" i="2"/>
  <c r="K121" i="2"/>
  <c r="K120" i="2"/>
  <c r="K119" i="2"/>
  <c r="B106" i="2"/>
  <c r="K104" i="2"/>
  <c r="K102" i="2"/>
  <c r="K99" i="2"/>
  <c r="K98" i="2"/>
  <c r="K94" i="2"/>
  <c r="K93" i="2"/>
  <c r="K92" i="2"/>
  <c r="K91" i="2"/>
  <c r="K90" i="2"/>
  <c r="K89" i="2"/>
  <c r="K88" i="2"/>
  <c r="K87" i="2"/>
  <c r="K86" i="2"/>
  <c r="K85" i="2"/>
  <c r="K84" i="2"/>
  <c r="K83" i="2" s="1"/>
  <c r="K80" i="2"/>
  <c r="K79" i="2" s="1"/>
  <c r="K76" i="2"/>
  <c r="K75" i="2"/>
  <c r="K74" i="2"/>
  <c r="B74" i="2"/>
  <c r="K73" i="2"/>
  <c r="K69" i="2"/>
  <c r="K66" i="2"/>
  <c r="K65" i="2"/>
  <c r="K64" i="2"/>
  <c r="K63" i="2"/>
  <c r="K59" i="2"/>
  <c r="K58" i="2"/>
  <c r="K57" i="2"/>
  <c r="K56" i="2" s="1"/>
  <c r="K52" i="2"/>
  <c r="K51" i="2"/>
  <c r="K50" i="2"/>
  <c r="K49" i="2"/>
  <c r="K48" i="2"/>
  <c r="K47" i="2"/>
  <c r="K46" i="2"/>
  <c r="K45" i="2"/>
  <c r="K39" i="2"/>
  <c r="K37" i="2"/>
  <c r="K36" i="2"/>
  <c r="K34" i="2"/>
  <c r="K33" i="2"/>
  <c r="K29" i="2"/>
  <c r="B30" i="2"/>
  <c r="K26" i="2"/>
  <c r="K23" i="2"/>
  <c r="H23" i="2"/>
  <c r="K22" i="2"/>
  <c r="H22" i="2"/>
  <c r="K21" i="2"/>
  <c r="H21" i="2"/>
  <c r="K20" i="2"/>
  <c r="H20" i="2"/>
  <c r="K17" i="2"/>
  <c r="K13" i="2"/>
  <c r="H13" i="2"/>
  <c r="K12" i="2"/>
  <c r="H12" i="2"/>
  <c r="K11" i="2"/>
  <c r="H11" i="2"/>
  <c r="K10" i="2"/>
  <c r="H10" i="2"/>
  <c r="K9" i="2"/>
  <c r="H9" i="2"/>
  <c r="K8" i="2"/>
  <c r="K5" i="2" s="1"/>
  <c r="H8" i="2"/>
  <c r="B5" i="2"/>
  <c r="K4" i="2"/>
  <c r="K3" i="2"/>
  <c r="I1" i="2"/>
  <c r="G1" i="2"/>
  <c r="L20" i="1"/>
  <c r="K20" i="1"/>
  <c r="J20" i="1"/>
  <c r="I20" i="1"/>
  <c r="H20" i="1"/>
  <c r="G20" i="1"/>
  <c r="K140" i="2" l="1"/>
  <c r="K268" i="2"/>
  <c r="K31" i="2"/>
  <c r="K62" i="2"/>
  <c r="K97" i="2"/>
  <c r="K311" i="2"/>
  <c r="K208" i="2"/>
  <c r="K124" i="2"/>
  <c r="H169" i="2"/>
  <c r="H192" i="2"/>
  <c r="H165" i="2"/>
  <c r="K216" i="2"/>
  <c r="K242" i="2"/>
  <c r="K256" i="2"/>
  <c r="K303" i="2"/>
  <c r="K118" i="2"/>
  <c r="K153" i="2"/>
  <c r="H194" i="2"/>
  <c r="K198" i="2"/>
  <c r="K234" i="2"/>
  <c r="H260" i="2"/>
  <c r="H264" i="2"/>
  <c r="K329" i="2"/>
  <c r="H167" i="2"/>
  <c r="H171" i="2"/>
  <c r="H258" i="2"/>
  <c r="H262" i="2"/>
  <c r="K278" i="2"/>
  <c r="K340" i="2"/>
  <c r="H166" i="2"/>
  <c r="H168" i="2"/>
  <c r="H170" i="2"/>
  <c r="H191" i="2"/>
  <c r="H193" i="2"/>
  <c r="H195" i="2"/>
  <c r="H257" i="2"/>
  <c r="H259" i="2"/>
  <c r="H261" i="2"/>
  <c r="H263" i="2"/>
  <c r="H265" i="2"/>
  <c r="X40" i="1" l="1"/>
  <c r="M29" i="1"/>
  <c r="N29" i="1" s="1"/>
  <c r="D28" i="1"/>
  <c r="E28" i="1"/>
  <c r="F28" i="1"/>
  <c r="G28" i="1"/>
  <c r="M28" i="1" s="1"/>
  <c r="N28" i="1" s="1"/>
  <c r="H28" i="1"/>
  <c r="I28" i="1"/>
  <c r="K28" i="1"/>
  <c r="C28" i="1"/>
  <c r="E20" i="1"/>
  <c r="F20" i="1"/>
  <c r="C20" i="1"/>
  <c r="T40" i="1" l="1"/>
  <c r="T7" i="1"/>
  <c r="T9" i="1"/>
  <c r="T10" i="1"/>
  <c r="T18" i="1"/>
  <c r="T19" i="1"/>
  <c r="T28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6" i="1"/>
  <c r="M8" i="1" l="1"/>
  <c r="N8" i="1" s="1"/>
  <c r="M30" i="1"/>
  <c r="N30" i="1"/>
  <c r="M31" i="1"/>
  <c r="N31" i="1"/>
  <c r="M32" i="1"/>
  <c r="N32" i="1"/>
  <c r="M33" i="1"/>
  <c r="N33" i="1"/>
  <c r="M34" i="1"/>
  <c r="N34" i="1"/>
  <c r="M21" i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0" i="1"/>
  <c r="M11" i="1"/>
  <c r="M12" i="1"/>
  <c r="N12" i="1" s="1"/>
  <c r="M13" i="1"/>
  <c r="M14" i="1"/>
  <c r="N14" i="1" s="1"/>
  <c r="M15" i="1"/>
  <c r="M16" i="1"/>
  <c r="N16" i="1" s="1"/>
  <c r="M17" i="1"/>
  <c r="M18" i="1"/>
  <c r="M19" i="1"/>
  <c r="N11" i="1"/>
  <c r="N13" i="1"/>
  <c r="N15" i="1"/>
  <c r="N17" i="1"/>
  <c r="R58" i="1"/>
  <c r="M6" i="1"/>
  <c r="N6" i="1" s="1"/>
  <c r="M42" i="1"/>
  <c r="N42" i="1"/>
  <c r="M56" i="1"/>
  <c r="N56" i="1" s="1"/>
  <c r="M53" i="1"/>
  <c r="N53" i="1" s="1"/>
  <c r="M54" i="1"/>
  <c r="N54" i="1"/>
  <c r="M55" i="1"/>
  <c r="N55" i="1"/>
  <c r="M38" i="1"/>
  <c r="N38" i="1"/>
  <c r="M36" i="1"/>
  <c r="N36" i="1"/>
  <c r="M7" i="1"/>
  <c r="N7" i="1"/>
  <c r="M9" i="1"/>
  <c r="N9" i="1" s="1"/>
  <c r="N18" i="1"/>
  <c r="N19" i="1"/>
  <c r="M35" i="1"/>
  <c r="N35" i="1"/>
  <c r="M37" i="1"/>
  <c r="N37" i="1" s="1"/>
  <c r="M39" i="1"/>
  <c r="N39" i="1" s="1"/>
  <c r="X39" i="1" s="1"/>
  <c r="M40" i="1"/>
  <c r="N40" i="1"/>
  <c r="M41" i="1"/>
  <c r="N41" i="1" s="1"/>
  <c r="M43" i="1"/>
  <c r="N43" i="1" s="1"/>
  <c r="M45" i="1"/>
  <c r="N45" i="1" s="1"/>
  <c r="M44" i="1"/>
  <c r="N44" i="1" s="1"/>
  <c r="M46" i="1"/>
  <c r="N46" i="1" s="1"/>
  <c r="M47" i="1"/>
  <c r="N47" i="1" s="1"/>
  <c r="M48" i="1"/>
  <c r="N48" i="1" s="1"/>
  <c r="M49" i="1"/>
  <c r="N49" i="1" s="1"/>
  <c r="M50" i="1"/>
  <c r="N50" i="1"/>
  <c r="M51" i="1"/>
  <c r="N51" i="1"/>
  <c r="M52" i="1"/>
  <c r="N52" i="1"/>
  <c r="M57" i="1"/>
  <c r="N57" i="1"/>
  <c r="M20" i="1" l="1"/>
  <c r="N20" i="1" s="1"/>
  <c r="X20" i="1" s="1"/>
  <c r="N58" i="1" l="1"/>
</calcChain>
</file>

<file path=xl/sharedStrings.xml><?xml version="1.0" encoding="utf-8"?>
<sst xmlns="http://schemas.openxmlformats.org/spreadsheetml/2006/main" count="2209" uniqueCount="358">
  <si>
    <t>№</t>
  </si>
  <si>
    <t>п/п</t>
  </si>
  <si>
    <t>Наименование группы пищевой продукции (ассортимент – по СанПиН 2.3/2 4.3590-20)</t>
  </si>
  <si>
    <r>
      <t>Фактическое количество пищевой продукции (</t>
    </r>
    <r>
      <rPr>
        <b/>
        <sz val="12"/>
        <color rgb="FF000000"/>
        <rFont val="Times New Roman"/>
        <family val="1"/>
        <charset val="204"/>
      </rPr>
      <t>БРУТТО</t>
    </r>
    <r>
      <rPr>
        <sz val="12"/>
        <color rgb="FF000000"/>
        <rFont val="Times New Roman"/>
        <family val="1"/>
        <charset val="204"/>
      </rPr>
      <t xml:space="preserve">) по дням в граммах на </t>
    </r>
    <r>
      <rPr>
        <b/>
        <sz val="12"/>
        <color rgb="FF000000"/>
        <rFont val="Times New Roman"/>
        <family val="1"/>
        <charset val="204"/>
      </rPr>
      <t>одного</t>
    </r>
    <r>
      <rPr>
        <sz val="12"/>
        <color rgb="FF000000"/>
        <rFont val="Times New Roman"/>
        <family val="1"/>
        <charset val="204"/>
      </rPr>
      <t xml:space="preserve"> человека, г</t>
    </r>
  </si>
  <si>
    <t>Сметана</t>
  </si>
  <si>
    <t>Масло растительное</t>
  </si>
  <si>
    <t>Картофель</t>
  </si>
  <si>
    <t>Кондитерские изделия</t>
  </si>
  <si>
    <t>Чай</t>
  </si>
  <si>
    <t>Сухофрукты</t>
  </si>
  <si>
    <t>Фрукты  свежие</t>
  </si>
  <si>
    <t>Среднесуточный расход за 1 прием пищи</t>
  </si>
  <si>
    <t>Всего за 10 дней, г (фактический рацион)</t>
  </si>
  <si>
    <t>Макаронные изделия</t>
  </si>
  <si>
    <t>Масло сливочное</t>
  </si>
  <si>
    <t>Сыр</t>
  </si>
  <si>
    <t>Какао-порошок</t>
  </si>
  <si>
    <t>Кофейный напиток</t>
  </si>
  <si>
    <t>Хлеб пшеничный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</si>
  <si>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</si>
  <si>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</si>
  <si>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</si>
  <si>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</si>
  <si>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</si>
  <si>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</si>
  <si>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</si>
  <si>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</si>
  <si>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</si>
  <si>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</si>
  <si>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Среднесуточный расход пищевых продуктов по меню </t>
  </si>
  <si>
    <t>Приложение</t>
  </si>
  <si>
    <t>Итого за завтрак (или обед)</t>
  </si>
  <si>
    <t xml:space="preserve"> ИТОГО:</t>
  </si>
  <si>
    <t>Хлеб ржаной</t>
  </si>
  <si>
    <t>Мука пшеничная</t>
  </si>
  <si>
    <t xml:space="preserve">Рис </t>
  </si>
  <si>
    <t>Крупа гречневая</t>
  </si>
  <si>
    <t>Крупа манная</t>
  </si>
  <si>
    <t>Крупы овсяная и перловая</t>
  </si>
  <si>
    <t>Пшено</t>
  </si>
  <si>
    <t>Горох и фасоль</t>
  </si>
  <si>
    <t>Овсяные хлопья "Геркулес"</t>
  </si>
  <si>
    <t>Овощи (свежие, мороженые, консервированные) включая соленые и квашеные*, в т.ч. томат-пюре, зелень, г</t>
  </si>
  <si>
    <t>Капуста белокочанная свежая</t>
  </si>
  <si>
    <t>Лук репчатый</t>
  </si>
  <si>
    <t>Морковь</t>
  </si>
  <si>
    <t>Зелень свежая</t>
  </si>
  <si>
    <t>Свекла столовая</t>
  </si>
  <si>
    <t>Огурцы свежие</t>
  </si>
  <si>
    <t>Помидоры свежие</t>
  </si>
  <si>
    <t>Яблоки</t>
  </si>
  <si>
    <t>Груши</t>
  </si>
  <si>
    <t>Бананы</t>
  </si>
  <si>
    <t>Апельсины</t>
  </si>
  <si>
    <t>Ягоды замороженные</t>
  </si>
  <si>
    <t>Лимоны</t>
  </si>
  <si>
    <t>Соки плодовоовощные, напитки витаминизированные, в т.ч. инстантные</t>
  </si>
  <si>
    <t>Субпродукты (печень, язык, сердце)</t>
  </si>
  <si>
    <t>Птица (цыплята-бройлеры потрошеные - 1 кат)</t>
  </si>
  <si>
    <t>Рыба (филе), в т.ч. филе слабо или малосоленое</t>
  </si>
  <si>
    <t>Яйцо, шт.</t>
  </si>
  <si>
    <t>Дрожжи хлебопекарные</t>
  </si>
  <si>
    <t>Крахмал</t>
  </si>
  <si>
    <t>Специи</t>
  </si>
  <si>
    <t>Крупы, бобовые</t>
  </si>
  <si>
    <t xml:space="preserve">Молоко </t>
  </si>
  <si>
    <t>Кисломолочная пищевая продукция</t>
  </si>
  <si>
    <t>Творог (5% - 9% м.д.ж.)</t>
  </si>
  <si>
    <t>Сахар (в том числе для …..)</t>
  </si>
  <si>
    <t>Соль пищевая поваренная йодированная</t>
  </si>
  <si>
    <t>Мясо 1-й категории</t>
  </si>
  <si>
    <t>завтрак</t>
  </si>
  <si>
    <t>обед</t>
  </si>
  <si>
    <t>Установленная стоимость питания всего (руб.), в том числе:</t>
  </si>
  <si>
    <t>Разамер выделенной федеральной субсидии на БГП в 2023 году для субъекта (руб.)</t>
  </si>
  <si>
    <t xml:space="preserve">                управления образования </t>
  </si>
  <si>
    <t xml:space="preserve">       администрации муниципального района </t>
  </si>
  <si>
    <t xml:space="preserve">                   «Корочанский район»                                                   </t>
  </si>
  <si>
    <t>Е.В. Коробкова</t>
  </si>
  <si>
    <t xml:space="preserve">                Заместитель начальника  </t>
  </si>
  <si>
    <t>Цена</t>
  </si>
  <si>
    <t>Средняя цена на 1 учащ-ся</t>
  </si>
  <si>
    <t>Софинансирование 24 %</t>
  </si>
  <si>
    <t>Сухари</t>
  </si>
  <si>
    <t>суточная норма СанПиН</t>
  </si>
  <si>
    <r>
      <t>норма на завтрак 20-</t>
    </r>
    <r>
      <rPr>
        <b/>
        <sz val="11"/>
        <color rgb="FFFF0000"/>
        <rFont val="Times New Roman"/>
        <family val="1"/>
        <charset val="204"/>
      </rPr>
      <t>25%</t>
    </r>
  </si>
  <si>
    <t>отклонение</t>
  </si>
  <si>
    <t xml:space="preserve">норма мин-во </t>
  </si>
  <si>
    <t>яйцо 2 с по 45 гр    1с по 55 гр</t>
  </si>
  <si>
    <t>2с=</t>
  </si>
  <si>
    <t>средняя стоимость</t>
  </si>
  <si>
    <t>выход порции</t>
  </si>
  <si>
    <t>цена за кг</t>
  </si>
  <si>
    <t>сумма</t>
  </si>
  <si>
    <t>яблоко</t>
  </si>
  <si>
    <t>пн</t>
  </si>
  <si>
    <t>сыр твердый</t>
  </si>
  <si>
    <t>каша геркулесовая</t>
  </si>
  <si>
    <t>Наименование сырья</t>
  </si>
  <si>
    <t>Расход сырья и полуфабрикатов</t>
  </si>
  <si>
    <t>Брутто, г</t>
  </si>
  <si>
    <t>Нетто, г</t>
  </si>
  <si>
    <t>Крупа овсяная "Геркулес"</t>
  </si>
  <si>
    <t>Молоко</t>
  </si>
  <si>
    <t>Вода</t>
  </si>
  <si>
    <t>Масло сливочное</t>
  </si>
  <si>
    <t>Соль йодированная</t>
  </si>
  <si>
    <t>Сахар</t>
  </si>
  <si>
    <t>Выход готового блюда</t>
  </si>
  <si>
    <t>-</t>
  </si>
  <si>
    <t>какао с молоком</t>
  </si>
  <si>
    <t>Сахар-песок</t>
  </si>
  <si>
    <t>хлеб пшеничный</t>
  </si>
  <si>
    <t>вт</t>
  </si>
  <si>
    <t>Котлеты, биточки, шницели (2 вариант)</t>
  </si>
  <si>
    <t>Говядина (котлетное мясо)</t>
  </si>
  <si>
    <t>или Вода</t>
  </si>
  <si>
    <t>Хлеб пшеничный</t>
  </si>
  <si>
    <t>Сухари панировочные</t>
  </si>
  <si>
    <t>~ Масса полуфабриката</t>
  </si>
  <si>
    <t>~ Масло растительное для запекания</t>
  </si>
  <si>
    <t>~ Масса готового блюда</t>
  </si>
  <si>
    <t>~ Соус томатный:</t>
  </si>
  <si>
    <t>Бульон мясной</t>
  </si>
  <si>
    <t>Соль пищевая йодированная</t>
  </si>
  <si>
    <t>Сахарный песок</t>
  </si>
  <si>
    <t>Томат-паста</t>
  </si>
  <si>
    <t>Выход</t>
  </si>
  <si>
    <t>Рис отварной с маслом сливочным</t>
  </si>
  <si>
    <t>Крупа рисовая</t>
  </si>
  <si>
    <t xml:space="preserve">Кофейный напиток на молоке </t>
  </si>
  <si>
    <t>Кофейный напиток растворимый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</si>
  <si>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</si>
  <si>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</si>
  <si>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</si>
  <si>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</si>
  <si>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</si>
  <si>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</si>
  <si>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Творог</t>
  </si>
  <si>
    <t>Яйцо</t>
  </si>
  <si>
    <t>Ванилин</t>
  </si>
  <si>
    <t>Чай с сахаром</t>
  </si>
  <si>
    <t>батон пшеничный</t>
  </si>
  <si>
    <t>груша</t>
  </si>
  <si>
    <t>чт</t>
  </si>
  <si>
    <t>Говядина по ГОСТ Р 54754</t>
  </si>
  <si>
    <t>Яйцо куриное</t>
  </si>
  <si>
    <t xml:space="preserve">Масло растительное </t>
  </si>
  <si>
    <t>Макароны отварные с маслом сливочным</t>
  </si>
  <si>
    <t>Чай с лимоном</t>
  </si>
  <si>
    <t>Лимон</t>
  </si>
  <si>
    <t>200/4</t>
  </si>
  <si>
    <t>пт</t>
  </si>
  <si>
    <t>Омлет натуральный с маслом</t>
  </si>
  <si>
    <t>Яйцо С-1 (столовое)</t>
  </si>
  <si>
    <t>Яблоко свежее</t>
  </si>
  <si>
    <t>суббота</t>
  </si>
  <si>
    <t>банан</t>
  </si>
  <si>
    <t>Банан</t>
  </si>
  <si>
    <t>Палочки мясные Детские запеченные</t>
  </si>
  <si>
    <t>Мясо котлетное свиное по ГОСТ Р 54754</t>
  </si>
  <si>
    <t xml:space="preserve">Хлеб пшеничный </t>
  </si>
  <si>
    <t xml:space="preserve">Лук репчатый </t>
  </si>
  <si>
    <t>Картофельное пюре с маслом сливочным</t>
  </si>
  <si>
    <t>Картофель свежий</t>
  </si>
  <si>
    <t>Сок</t>
  </si>
  <si>
    <t xml:space="preserve">Сок или нектар или морс или напиток сокосодержащий 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</si>
  <si>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</si>
  <si>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</si>
  <si>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</si>
  <si>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</si>
  <si>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</si>
  <si>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</si>
  <si>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</si>
  <si>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</si>
  <si>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</si>
  <si>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</si>
  <si>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</si>
  <si>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</si>
  <si>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</si>
  <si>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</si>
  <si>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</si>
  <si>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</si>
  <si>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</si>
  <si>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</si>
  <si>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</si>
  <si>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</si>
  <si>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</si>
  <si>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</si>
  <si>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</si>
  <si>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</si>
  <si>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Сезон:</t>
  </si>
  <si>
    <t>осенне-весенний</t>
  </si>
  <si>
    <t>ПРИМЕЧАНИЕ: * замена</t>
  </si>
  <si>
    <t>Неделя:</t>
  </si>
  <si>
    <t>Возраст:</t>
  </si>
  <si>
    <t>7-11 лет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</si>
  <si>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</si>
  <si>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</si>
  <si>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</si>
  <si>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</si>
  <si>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</si>
  <si>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(мг)</t>
  </si>
  <si>
    <t>Минеральные вещества (мг)</t>
  </si>
  <si>
    <t>Б</t>
  </si>
  <si>
    <t>Ж</t>
  </si>
  <si>
    <t>У</t>
  </si>
  <si>
    <t>тическая ценность (ккал)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</si>
  <si>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</si>
  <si>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</si>
  <si>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</si>
  <si>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</si>
  <si>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</si>
  <si>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</si>
  <si>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</si>
  <si>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</si>
  <si>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</si>
  <si>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</si>
  <si>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</si>
  <si>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</si>
  <si>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</si>
  <si>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</si>
  <si>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</si>
  <si>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</si>
  <si>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ПР</t>
  </si>
  <si>
    <t>Итого за Завтрак молочный</t>
  </si>
  <si>
    <t>% от суточной нормы</t>
  </si>
  <si>
    <t>Обед (полноценный рацион питания)</t>
  </si>
  <si>
    <t>* 47</t>
  </si>
  <si>
    <t>Салат из квашенной капусты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</si>
  <si>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</si>
  <si>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</si>
  <si>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</si>
  <si>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</si>
  <si>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200//4</t>
  </si>
  <si>
    <t>Хлеб ржано-пшеничный</t>
  </si>
  <si>
    <t>Итого за Обед (полноценный рацион питания)</t>
  </si>
  <si>
    <t>Полдник</t>
  </si>
  <si>
    <t>Булочка "Веснушка"</t>
  </si>
  <si>
    <t xml:space="preserve">Компот из смеси сухофруктов     С- витаминизированный 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</si>
  <si>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</si>
  <si>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</si>
  <si>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</si>
  <si>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</si>
  <si>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</si>
  <si>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рец.</t>
  </si>
  <si>
    <t>Завтрак мясной</t>
  </si>
  <si>
    <t xml:space="preserve">Холодная закуска: Овощи порционно / Огурец </t>
  </si>
  <si>
    <t>451 (ДС)</t>
  </si>
  <si>
    <t xml:space="preserve">Рис отварной с маслом сливочным </t>
  </si>
  <si>
    <t>Кофейный напиток на молоке</t>
  </si>
  <si>
    <t>Итого за Завтрак мясной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</si>
  <si>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</si>
  <si>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</si>
  <si>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</si>
  <si>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</si>
  <si>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</si>
  <si>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 xml:space="preserve">Булочка сдобная </t>
  </si>
  <si>
    <t>Кисломолочный напиток / Кефир</t>
  </si>
  <si>
    <t>ПРИМЕЧАНИЕ ** могут быть использованы нектары, 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</si>
  <si>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</si>
  <si>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</si>
  <si>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</si>
  <si>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Салат из моркови с яблоком</t>
  </si>
  <si>
    <t>б/н</t>
  </si>
  <si>
    <t>Повидло</t>
  </si>
  <si>
    <t>54-1т-20</t>
  </si>
  <si>
    <t xml:space="preserve">Батон пшеничный </t>
  </si>
  <si>
    <t>* 21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</si>
  <si>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</si>
  <si>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</si>
  <si>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</si>
  <si>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</si>
  <si>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</si>
  <si>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>Булочка творожная</t>
  </si>
  <si>
    <t>Примерное меню и пищевая ценность приготовляемых блюд (лист 4)</t>
  </si>
  <si>
    <t>четверг</t>
  </si>
  <si>
    <t>Фрукт порционно / Груша 1 шт.</t>
  </si>
  <si>
    <t>Макаронный изделия с маслом сливочным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</si>
  <si>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</si>
  <si>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</si>
  <si>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</si>
  <si>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>Булочка "Декор Сложный"</t>
  </si>
  <si>
    <t>Сок фруктовый**</t>
  </si>
  <si>
    <t>Примерное меню и пищевая ценность приготовляемых блюд (лист 5)</t>
  </si>
  <si>
    <t>пятница</t>
  </si>
  <si>
    <t>осенне- весенний</t>
  </si>
  <si>
    <t xml:space="preserve">Омлет натуральный с маслом сливочным </t>
  </si>
  <si>
    <t>Фрукт порционно / Яблоко 1шт</t>
  </si>
  <si>
    <t>138 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</si>
  <si>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</si>
  <si>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</si>
  <si>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</si>
  <si>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</si>
  <si>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Кисель из концентрата на плодовых или ягодных экстрактах</t>
  </si>
  <si>
    <t>Итого средняя за завтрак в неделю</t>
  </si>
  <si>
    <t>Итого средняя за обед в неделю</t>
  </si>
  <si>
    <t>Итого средняя за полдник в неделю</t>
  </si>
  <si>
    <t>Итого  в день за 1 -ую неделю</t>
  </si>
  <si>
    <t>Примерное меню и пищевая ценность приготовляемых блюд (лист 6)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</si>
  <si>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</si>
  <si>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</si>
  <si>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</si>
  <si>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</si>
  <si>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</si>
  <si>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Примерное меню и пищевая ценность приготовляемых блюд (лист 7)</t>
  </si>
  <si>
    <t>Винегрет овощной</t>
  </si>
  <si>
    <t>Суп-лапша домашняя с птицей отварной</t>
  </si>
  <si>
    <t>200//10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</si>
  <si>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</si>
  <si>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</si>
  <si>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</si>
  <si>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Примерное меню и пищевая ценность приготовляемых блюд (лист 8)</t>
  </si>
  <si>
    <t>*336</t>
  </si>
  <si>
    <t>Морковь припущенная</t>
  </si>
  <si>
    <t>Суп картофельный с крупой (рис)</t>
  </si>
  <si>
    <t xml:space="preserve">Жаркое по- домашнему </t>
  </si>
  <si>
    <t>Примерное меню и пищевая ценность приготовляемых блюд (лист 9)</t>
  </si>
  <si>
    <t>*115</t>
  </si>
  <si>
    <t>Икра кабачковая (промышленного производства)</t>
  </si>
  <si>
    <t xml:space="preserve">Тефтели "Детские" под овощным соусом </t>
  </si>
  <si>
    <t>80/20</t>
  </si>
  <si>
    <t xml:space="preserve">Кофейный напиток с сахаром  </t>
  </si>
  <si>
    <t>Щи из свежей капусты с картофелем</t>
  </si>
  <si>
    <t xml:space="preserve">Рыба, запеченная под соусом </t>
  </si>
  <si>
    <t>Примерное меню и пищевая ценность приготовляемых блюд (лист 10)</t>
  </si>
  <si>
    <t xml:space="preserve">Суп картофельный с вермишелью </t>
  </si>
  <si>
    <t>Каша гречневая рассыпчатая с маслом</t>
  </si>
  <si>
    <t>Итого  в день за 2 -ую неделю</t>
  </si>
  <si>
    <t>ГУЛЯШ ИЗ КУРИНОГО ФИЛЕ.</t>
  </si>
  <si>
    <t>Куриное филе (грудка)</t>
  </si>
  <si>
    <t>Лук</t>
  </si>
  <si>
    <t>Мука</t>
  </si>
  <si>
    <t>Томат паста</t>
  </si>
  <si>
    <t>Соль</t>
  </si>
  <si>
    <t>огурец консервированный</t>
  </si>
  <si>
    <t>огурец консервированный 40</t>
  </si>
  <si>
    <t>огурец свежий</t>
  </si>
  <si>
    <t>Холодная закуска: Овощи порционно / Огурец  свежий</t>
  </si>
  <si>
    <t>Холодная закуска: огурец консервированный</t>
  </si>
  <si>
    <t>19 *</t>
  </si>
  <si>
    <t xml:space="preserve">огурец консервированный </t>
  </si>
  <si>
    <t xml:space="preserve">яблоко свежее </t>
  </si>
  <si>
    <t xml:space="preserve">Холодная закуска: Овощи порционно / Огурец свежий </t>
  </si>
  <si>
    <t>338 *</t>
  </si>
  <si>
    <t>икра кабачковая</t>
  </si>
  <si>
    <r>
      <t xml:space="preserve">Фрукт порционно /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</si>
  <si>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>12-18 лет</t>
  </si>
  <si>
    <t>250/10</t>
  </si>
  <si>
    <t>Макаронный изделия отварные с маслом сливочным</t>
  </si>
  <si>
    <t xml:space="preserve">Бифштекс рубленый "Детский" </t>
  </si>
  <si>
    <t>Компот из смеси сухофруктов С-витаминизированный</t>
  </si>
  <si>
    <t xml:space="preserve">Суп-лапша домашняя с птицей отварной </t>
  </si>
  <si>
    <t>250/15</t>
  </si>
  <si>
    <t xml:space="preserve">Тефтели "Детские" под соусом </t>
  </si>
  <si>
    <t>338*</t>
  </si>
  <si>
    <t>Фрукт порционно / Банан 1 шт.</t>
  </si>
  <si>
    <t>Фрукт порционно / Апельсин 1 шт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</si>
</sst>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[$-419]d\ mmm;@"/>
    <numFmt numFmtId="167" formatCode="0&quot; порц&quot;"/>
    <numFmt numFmtId="168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color rgb="FFFF0000"/>
      <name val="Arial"/>
      <family val="2"/>
    </font>
    <font>
      <u/>
      <sz val="10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5"/>
      <color rgb="FF000000"/>
      <name val="Arial Unicode MS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/>
    <xf numFmtId="0" fontId="2" fillId="4" borderId="6" xfId="0" applyFont="1" applyFill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4" borderId="6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6" xfId="0" applyFont="1" applyBorder="1"/>
    <xf numFmtId="0" fontId="12" fillId="0" borderId="6" xfId="0" applyFont="1" applyBorder="1"/>
    <xf numFmtId="164" fontId="13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top"/>
    </xf>
    <xf numFmtId="165" fontId="15" fillId="0" borderId="6" xfId="0" applyNumberFormat="1" applyFont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165" fontId="15" fillId="7" borderId="6" xfId="0" applyNumberFormat="1" applyFont="1" applyFill="1" applyBorder="1" applyAlignment="1">
      <alignment horizontal="center" vertical="center" wrapText="1"/>
    </xf>
    <xf numFmtId="164" fontId="14" fillId="7" borderId="6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2" fillId="7" borderId="6" xfId="0" applyFont="1" applyFill="1" applyBorder="1"/>
    <xf numFmtId="0" fontId="12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center" wrapText="1"/>
    </xf>
    <xf numFmtId="165" fontId="2" fillId="7" borderId="6" xfId="0" applyNumberFormat="1" applyFont="1" applyFill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4" fillId="7" borderId="6" xfId="0" applyFont="1" applyFill="1" applyBorder="1"/>
    <xf numFmtId="0" fontId="4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vertical="top"/>
    </xf>
    <xf numFmtId="165" fontId="15" fillId="8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2" fontId="15" fillId="0" borderId="0" xfId="0" applyNumberFormat="1" applyFont="1"/>
    <xf numFmtId="0" fontId="17" fillId="0" borderId="0" xfId="0" applyFont="1"/>
    <xf numFmtId="0" fontId="9" fillId="9" borderId="0" xfId="0" applyFont="1" applyFill="1" applyAlignment="1">
      <alignment horizontal="center" vertical="top" wrapText="1"/>
    </xf>
    <xf numFmtId="2" fontId="9" fillId="9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4" borderId="0" xfId="0" applyNumberFormat="1" applyFont="1" applyFill="1"/>
    <xf numFmtId="2" fontId="16" fillId="4" borderId="0" xfId="0" applyNumberFormat="1" applyFont="1" applyFill="1"/>
    <xf numFmtId="0" fontId="0" fillId="0" borderId="14" xfId="0" applyFont="1" applyBorder="1"/>
    <xf numFmtId="165" fontId="0" fillId="0" borderId="15" xfId="0" applyNumberFormat="1" applyFont="1" applyBorder="1" applyAlignment="1"/>
    <xf numFmtId="165" fontId="0" fillId="0" borderId="16" xfId="0" applyNumberFormat="1" applyFont="1" applyBorder="1" applyAlignment="1"/>
    <xf numFmtId="0" fontId="0" fillId="0" borderId="17" xfId="0" applyFont="1" applyBorder="1" applyAlignment="1">
      <alignment horizontal="left"/>
    </xf>
    <xf numFmtId="165" fontId="0" fillId="0" borderId="17" xfId="0" applyNumberFormat="1" applyFont="1" applyBorder="1" applyAlignment="1"/>
    <xf numFmtId="165" fontId="0" fillId="0" borderId="18" xfId="0" applyNumberFormat="1" applyFont="1" applyBorder="1" applyAlignment="1"/>
    <xf numFmtId="165" fontId="0" fillId="0" borderId="20" xfId="0" applyNumberFormat="1" applyFont="1" applyBorder="1" applyAlignment="1"/>
    <xf numFmtId="165" fontId="0" fillId="0" borderId="21" xfId="0" applyNumberFormat="1" applyFont="1" applyBorder="1" applyAlignment="1"/>
    <xf numFmtId="0" fontId="16" fillId="0" borderId="0" xfId="0" applyFont="1" applyAlignment="1">
      <alignment vertical="top"/>
    </xf>
    <xf numFmtId="0" fontId="0" fillId="0" borderId="6" xfId="0" applyNumberFormat="1" applyFont="1" applyBorder="1" applyAlignment="1">
      <alignment horizontal="left"/>
    </xf>
    <xf numFmtId="0" fontId="4" fillId="4" borderId="0" xfId="0" applyFont="1" applyFill="1"/>
    <xf numFmtId="0" fontId="20" fillId="0" borderId="14" xfId="0" applyFont="1" applyBorder="1"/>
    <xf numFmtId="2" fontId="20" fillId="0" borderId="15" xfId="0" applyNumberFormat="1" applyFont="1" applyBorder="1" applyAlignment="1"/>
    <xf numFmtId="2" fontId="20" fillId="0" borderId="16" xfId="0" applyNumberFormat="1" applyFont="1" applyBorder="1" applyAlignment="1"/>
    <xf numFmtId="0" fontId="20" fillId="0" borderId="17" xfId="0" applyFont="1" applyBorder="1" applyAlignment="1">
      <alignment horizontal="left"/>
    </xf>
    <xf numFmtId="2" fontId="20" fillId="0" borderId="17" xfId="0" applyNumberFormat="1" applyFont="1" applyBorder="1" applyAlignment="1"/>
    <xf numFmtId="2" fontId="20" fillId="0" borderId="18" xfId="0" applyNumberFormat="1" applyFont="1" applyBorder="1" applyAlignment="1"/>
    <xf numFmtId="2" fontId="20" fillId="0" borderId="20" xfId="0" applyNumberFormat="1" applyFont="1" applyBorder="1" applyAlignment="1"/>
    <xf numFmtId="2" fontId="20" fillId="0" borderId="21" xfId="0" applyNumberFormat="1" applyFont="1" applyBorder="1" applyAlignment="1"/>
    <xf numFmtId="0" fontId="20" fillId="0" borderId="6" xfId="0" applyNumberFormat="1" applyFont="1" applyBorder="1" applyAlignment="1">
      <alignment horizontal="left"/>
    </xf>
    <xf numFmtId="0" fontId="16" fillId="0" borderId="22" xfId="0" applyFont="1" applyBorder="1"/>
    <xf numFmtId="0" fontId="17" fillId="0" borderId="22" xfId="0" applyFont="1" applyBorder="1"/>
    <xf numFmtId="0" fontId="4" fillId="0" borderId="22" xfId="0" applyFont="1" applyBorder="1"/>
    <xf numFmtId="0" fontId="4" fillId="10" borderId="0" xfId="0" applyFont="1" applyFill="1"/>
    <xf numFmtId="2" fontId="16" fillId="10" borderId="0" xfId="0" applyNumberFormat="1" applyFont="1" applyFill="1"/>
    <xf numFmtId="0" fontId="15" fillId="0" borderId="0" xfId="0" applyFont="1"/>
    <xf numFmtId="0" fontId="22" fillId="0" borderId="0" xfId="0" applyFont="1"/>
    <xf numFmtId="0" fontId="12" fillId="10" borderId="0" xfId="0" applyFont="1" applyFill="1"/>
    <xf numFmtId="0" fontId="4" fillId="0" borderId="0" xfId="0" applyFont="1" applyFill="1"/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11" borderId="7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17" xfId="0" applyFont="1" applyBorder="1"/>
    <xf numFmtId="165" fontId="0" fillId="4" borderId="17" xfId="0" applyNumberFormat="1" applyFont="1" applyFill="1" applyBorder="1" applyAlignment="1"/>
    <xf numFmtId="165" fontId="0" fillId="4" borderId="18" xfId="0" applyNumberFormat="1" applyFont="1" applyFill="1" applyBorder="1" applyAlignment="1"/>
    <xf numFmtId="2" fontId="16" fillId="7" borderId="0" xfId="0" applyNumberFormat="1" applyFont="1" applyFill="1"/>
    <xf numFmtId="165" fontId="0" fillId="0" borderId="7" xfId="0" applyNumberFormat="1" applyFont="1" applyBorder="1" applyAlignment="1"/>
    <xf numFmtId="165" fontId="0" fillId="0" borderId="9" xfId="0" applyNumberFormat="1" applyFont="1" applyBorder="1" applyAlignment="1"/>
    <xf numFmtId="0" fontId="16" fillId="12" borderId="0" xfId="0" applyFont="1" applyFill="1"/>
    <xf numFmtId="0" fontId="0" fillId="0" borderId="1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0" borderId="0" xfId="0" applyFont="1"/>
    <xf numFmtId="0" fontId="4" fillId="12" borderId="0" xfId="0" applyFont="1" applyFill="1"/>
    <xf numFmtId="0" fontId="0" fillId="0" borderId="11" xfId="0" applyNumberFormat="1" applyFont="1" applyBorder="1" applyAlignment="1">
      <alignment horizontal="left"/>
    </xf>
    <xf numFmtId="0" fontId="12" fillId="0" borderId="0" xfId="0" applyFont="1" applyFill="1"/>
    <xf numFmtId="0" fontId="4" fillId="13" borderId="0" xfId="0" applyFont="1" applyFill="1"/>
    <xf numFmtId="0" fontId="16" fillId="13" borderId="0" xfId="0" applyFont="1" applyFill="1"/>
    <xf numFmtId="0" fontId="0" fillId="0" borderId="7" xfId="0" applyNumberFormat="1" applyFont="1" applyBorder="1" applyAlignment="1"/>
    <xf numFmtId="0" fontId="0" fillId="0" borderId="9" xfId="0" applyNumberFormat="1" applyFont="1" applyBorder="1" applyAlignment="1"/>
    <xf numFmtId="0" fontId="16" fillId="14" borderId="0" xfId="0" applyFont="1" applyFill="1"/>
    <xf numFmtId="0" fontId="25" fillId="0" borderId="6" xfId="0" applyNumberFormat="1" applyFont="1" applyBorder="1" applyAlignment="1">
      <alignment horizontal="left"/>
    </xf>
    <xf numFmtId="0" fontId="21" fillId="0" borderId="14" xfId="1" applyFont="1" applyBorder="1"/>
    <xf numFmtId="0" fontId="4" fillId="14" borderId="0" xfId="0" applyFont="1" applyFill="1"/>
    <xf numFmtId="0" fontId="6" fillId="0" borderId="0" xfId="0" applyFont="1"/>
    <xf numFmtId="0" fontId="26" fillId="0" borderId="0" xfId="0" applyFont="1"/>
    <xf numFmtId="0" fontId="0" fillId="0" borderId="17" xfId="0" applyBorder="1" applyAlignment="1"/>
    <xf numFmtId="0" fontId="0" fillId="0" borderId="18" xfId="0" applyBorder="1" applyAlignment="1"/>
    <xf numFmtId="0" fontId="17" fillId="12" borderId="0" xfId="0" applyFont="1" applyFill="1"/>
    <xf numFmtId="2" fontId="16" fillId="12" borderId="0" xfId="0" applyNumberFormat="1" applyFont="1" applyFill="1"/>
    <xf numFmtId="0" fontId="0" fillId="12" borderId="14" xfId="0" applyFont="1" applyFill="1" applyBorder="1"/>
    <xf numFmtId="0" fontId="0" fillId="12" borderId="17" xfId="0" applyFont="1" applyFill="1" applyBorder="1" applyAlignment="1">
      <alignment horizontal="left"/>
    </xf>
    <xf numFmtId="0" fontId="0" fillId="12" borderId="6" xfId="0" applyNumberFormat="1" applyFont="1" applyFill="1" applyBorder="1" applyAlignment="1">
      <alignment horizontal="left"/>
    </xf>
    <xf numFmtId="0" fontId="16" fillId="8" borderId="0" xfId="0" applyFont="1" applyFill="1"/>
    <xf numFmtId="165" fontId="0" fillId="0" borderId="24" xfId="0" applyNumberFormat="1" applyFont="1" applyBorder="1" applyAlignment="1"/>
    <xf numFmtId="165" fontId="0" fillId="0" borderId="23" xfId="0" applyNumberFormat="1" applyFont="1" applyBorder="1" applyAlignment="1"/>
    <xf numFmtId="0" fontId="4" fillId="8" borderId="0" xfId="0" applyFont="1" applyFill="1"/>
    <xf numFmtId="0" fontId="0" fillId="0" borderId="7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/>
    </xf>
    <xf numFmtId="2" fontId="16" fillId="15" borderId="0" xfId="0" applyNumberFormat="1" applyFont="1" applyFill="1"/>
    <xf numFmtId="0" fontId="4" fillId="15" borderId="0" xfId="0" applyFont="1" applyFill="1"/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165" fontId="0" fillId="0" borderId="0" xfId="0" applyNumberFormat="1" applyFont="1" applyBorder="1" applyAlignment="1"/>
    <xf numFmtId="165" fontId="0" fillId="0" borderId="13" xfId="0" applyNumberFormat="1" applyFont="1" applyBorder="1" applyAlignment="1"/>
    <xf numFmtId="165" fontId="0" fillId="0" borderId="28" xfId="0" applyNumberFormat="1" applyFont="1" applyBorder="1" applyAlignment="1"/>
    <xf numFmtId="2" fontId="16" fillId="13" borderId="0" xfId="0" applyNumberFormat="1" applyFont="1" applyFill="1"/>
    <xf numFmtId="0" fontId="21" fillId="0" borderId="7" xfId="1" applyNumberFormat="1" applyFont="1" applyBorder="1" applyAlignment="1">
      <alignment horizontal="center" vertical="center"/>
    </xf>
    <xf numFmtId="0" fontId="21" fillId="0" borderId="15" xfId="1" applyFont="1" applyBorder="1" applyAlignment="1">
      <alignment horizontal="left"/>
    </xf>
    <xf numFmtId="165" fontId="21" fillId="0" borderId="15" xfId="1" applyNumberFormat="1" applyFont="1" applyBorder="1" applyAlignment="1">
      <alignment horizontal="center"/>
    </xf>
    <xf numFmtId="0" fontId="21" fillId="0" borderId="7" xfId="1" applyNumberFormat="1" applyFont="1" applyBorder="1" applyAlignment="1">
      <alignment horizontal="left"/>
    </xf>
    <xf numFmtId="0" fontId="21" fillId="0" borderId="7" xfId="1" applyNumberFormat="1" applyFont="1" applyBorder="1" applyAlignment="1">
      <alignment horizontal="center"/>
    </xf>
    <xf numFmtId="1" fontId="21" fillId="0" borderId="7" xfId="1" applyNumberFormat="1" applyFont="1" applyBorder="1" applyAlignment="1">
      <alignment horizontal="center"/>
    </xf>
    <xf numFmtId="2" fontId="0" fillId="0" borderId="15" xfId="0" applyNumberFormat="1" applyFont="1" applyBorder="1" applyAlignment="1"/>
    <xf numFmtId="2" fontId="0" fillId="0" borderId="16" xfId="0" applyNumberFormat="1" applyFont="1" applyBorder="1" applyAlignment="1"/>
    <xf numFmtId="2" fontId="0" fillId="0" borderId="17" xfId="0" applyNumberFormat="1" applyFont="1" applyBorder="1" applyAlignment="1"/>
    <xf numFmtId="2" fontId="0" fillId="0" borderId="18" xfId="0" applyNumberFormat="1" applyFont="1" applyBorder="1" applyAlignment="1"/>
    <xf numFmtId="2" fontId="0" fillId="0" borderId="20" xfId="0" applyNumberFormat="1" applyFont="1" applyBorder="1" applyAlignment="1"/>
    <xf numFmtId="2" fontId="0" fillId="0" borderId="21" xfId="0" applyNumberFormat="1" applyFont="1" applyBorder="1" applyAlignment="1"/>
    <xf numFmtId="2" fontId="16" fillId="16" borderId="0" xfId="0" applyNumberFormat="1" applyFont="1" applyFill="1"/>
    <xf numFmtId="2" fontId="16" fillId="0" borderId="0" xfId="0" applyNumberFormat="1" applyFont="1"/>
    <xf numFmtId="0" fontId="4" fillId="16" borderId="0" xfId="0" applyFont="1" applyFill="1"/>
    <xf numFmtId="2" fontId="4" fillId="16" borderId="0" xfId="0" applyNumberFormat="1" applyFont="1" applyFill="1"/>
    <xf numFmtId="0" fontId="16" fillId="11" borderId="0" xfId="0" applyFont="1" applyFill="1"/>
    <xf numFmtId="0" fontId="16" fillId="0" borderId="0" xfId="0" applyFont="1" applyFill="1"/>
    <xf numFmtId="0" fontId="17" fillId="0" borderId="0" xfId="0" applyFont="1" applyFill="1"/>
    <xf numFmtId="0" fontId="21" fillId="0" borderId="17" xfId="1" applyFont="1" applyFill="1" applyBorder="1" applyAlignment="1">
      <alignment horizontal="left"/>
    </xf>
    <xf numFmtId="0" fontId="21" fillId="0" borderId="0" xfId="1" applyNumberFormat="1" applyFont="1" applyFill="1" applyBorder="1" applyAlignment="1">
      <alignment horizontal="center" vertical="center"/>
    </xf>
    <xf numFmtId="0" fontId="4" fillId="14" borderId="22" xfId="0" applyFont="1" applyFill="1" applyBorder="1"/>
    <xf numFmtId="0" fontId="28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7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10" fontId="23" fillId="0" borderId="6" xfId="0" applyNumberFormat="1" applyFont="1" applyFill="1" applyBorder="1" applyAlignment="1">
      <alignment horizontal="justify" vertical="top"/>
    </xf>
    <xf numFmtId="168" fontId="23" fillId="0" borderId="6" xfId="0" applyNumberFormat="1" applyFont="1" applyFill="1" applyBorder="1" applyAlignment="1">
      <alignment horizontal="justify"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vertical="top"/>
    </xf>
    <xf numFmtId="0" fontId="23" fillId="0" borderId="9" xfId="0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10" fontId="23" fillId="0" borderId="6" xfId="0" applyNumberFormat="1" applyFont="1" applyFill="1" applyBorder="1" applyAlignment="1">
      <alignment horizontal="justify" vertical="center"/>
    </xf>
    <xf numFmtId="168" fontId="23" fillId="0" borderId="6" xfId="0" applyNumberFormat="1" applyFont="1" applyFill="1" applyBorder="1" applyAlignment="1">
      <alignment horizontal="justify" vertical="center"/>
    </xf>
    <xf numFmtId="0" fontId="23" fillId="0" borderId="8" xfId="0" applyFont="1" applyFill="1" applyBorder="1" applyAlignment="1">
      <alignment vertical="top"/>
    </xf>
    <xf numFmtId="0" fontId="23" fillId="0" borderId="7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/>
    </xf>
    <xf numFmtId="0" fontId="0" fillId="0" borderId="0" xfId="0" applyFont="1"/>
    <xf numFmtId="0" fontId="23" fillId="0" borderId="6" xfId="0" applyNumberFormat="1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Fill="1"/>
    <xf numFmtId="0" fontId="17" fillId="0" borderId="6" xfId="0" applyFont="1" applyBorder="1" applyAlignment="1">
      <alignment horizontal="justify" vertical="top" wrapText="1"/>
    </xf>
    <xf numFmtId="2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0" fillId="0" borderId="6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4" fillId="9" borderId="0" xfId="0" applyFont="1" applyFill="1"/>
    <xf numFmtId="165" fontId="0" fillId="0" borderId="25" xfId="0" applyNumberFormat="1" applyFont="1" applyBorder="1" applyAlignment="1"/>
    <xf numFmtId="165" fontId="0" fillId="0" borderId="26" xfId="0" applyNumberFormat="1" applyFont="1" applyBorder="1" applyAlignment="1"/>
    <xf numFmtId="0" fontId="30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2" fillId="0" borderId="6" xfId="0" applyFont="1" applyFill="1" applyBorder="1" applyAlignment="1">
      <alignment horizontal="justify" vertical="top"/>
    </xf>
    <xf numFmtId="0" fontId="18" fillId="0" borderId="7" xfId="0" applyNumberFormat="1" applyFont="1" applyBorder="1" applyAlignment="1">
      <alignment vertical="center"/>
    </xf>
    <xf numFmtId="0" fontId="18" fillId="0" borderId="8" xfId="0" applyNumberFormat="1" applyFont="1" applyBorder="1" applyAlignment="1">
      <alignment vertical="center"/>
    </xf>
    <xf numFmtId="167" fontId="0" fillId="0" borderId="7" xfId="0" applyNumberFormat="1" applyFont="1" applyBorder="1" applyAlignment="1">
      <alignment vertical="center"/>
    </xf>
    <xf numFmtId="167" fontId="0" fillId="0" borderId="8" xfId="0" applyNumberFormat="1" applyFont="1" applyBorder="1" applyAlignment="1">
      <alignment vertical="center"/>
    </xf>
    <xf numFmtId="167" fontId="0" fillId="0" borderId="9" xfId="0" applyNumberFormat="1" applyFont="1" applyBorder="1" applyAlignment="1">
      <alignment vertical="center"/>
    </xf>
    <xf numFmtId="1" fontId="0" fillId="0" borderId="7" xfId="0" applyNumberFormat="1" applyFont="1" applyBorder="1" applyAlignment="1"/>
    <xf numFmtId="1" fontId="0" fillId="0" borderId="9" xfId="0" applyNumberFormat="1" applyFont="1" applyBorder="1" applyAlignment="1"/>
    <xf numFmtId="0" fontId="19" fillId="0" borderId="7" xfId="0" applyNumberFormat="1" applyFont="1" applyBorder="1" applyAlignment="1">
      <alignment vertical="center"/>
    </xf>
    <xf numFmtId="0" fontId="19" fillId="0" borderId="8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165" fontId="31" fillId="0" borderId="0" xfId="1" applyNumberFormat="1" applyFont="1" applyFill="1" applyBorder="1" applyAlignment="1"/>
    <xf numFmtId="0" fontId="4" fillId="0" borderId="0" xfId="0" applyFont="1" applyFill="1" applyBorder="1"/>
    <xf numFmtId="0" fontId="17" fillId="0" borderId="0" xfId="0" applyFont="1" applyBorder="1"/>
    <xf numFmtId="0" fontId="4" fillId="0" borderId="0" xfId="0" applyFont="1" applyBorder="1"/>
    <xf numFmtId="0" fontId="20" fillId="0" borderId="10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4" fillId="10" borderId="0" xfId="0" applyFont="1" applyFill="1"/>
    <xf numFmtId="0" fontId="17" fillId="4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top"/>
    </xf>
    <xf numFmtId="0" fontId="0" fillId="0" borderId="0" xfId="0" applyFont="1" applyBorder="1" applyAlignment="1"/>
    <xf numFmtId="165" fontId="21" fillId="0" borderId="17" xfId="1" applyNumberFormat="1" applyFont="1" applyFill="1" applyBorder="1" applyAlignment="1"/>
    <xf numFmtId="165" fontId="21" fillId="0" borderId="18" xfId="1" applyNumberFormat="1" applyFont="1" applyFill="1" applyBorder="1" applyAlignment="1"/>
    <xf numFmtId="0" fontId="32" fillId="0" borderId="14" xfId="1" applyFont="1" applyBorder="1"/>
    <xf numFmtId="0" fontId="22" fillId="0" borderId="0" xfId="0" applyFont="1" applyBorder="1"/>
    <xf numFmtId="0" fontId="12" fillId="0" borderId="0" xfId="0" applyFont="1" applyBorder="1"/>
    <xf numFmtId="0" fontId="25" fillId="0" borderId="0" xfId="0" applyFont="1" applyBorder="1" applyAlignment="1">
      <alignment horizontal="left"/>
    </xf>
    <xf numFmtId="165" fontId="25" fillId="0" borderId="0" xfId="0" applyNumberFormat="1" applyFont="1" applyBorder="1" applyAlignment="1"/>
    <xf numFmtId="0" fontId="27" fillId="0" borderId="0" xfId="1" applyFont="1" applyBorder="1"/>
    <xf numFmtId="0" fontId="12" fillId="0" borderId="0" xfId="0" applyFont="1" applyFill="1" applyBorder="1"/>
    <xf numFmtId="0" fontId="17" fillId="0" borderId="10" xfId="0" applyFont="1" applyFill="1" applyBorder="1" applyAlignment="1">
      <alignment horizontal="justify" vertical="center"/>
    </xf>
    <xf numFmtId="0" fontId="28" fillId="0" borderId="6" xfId="0" applyFont="1" applyFill="1" applyBorder="1" applyAlignment="1">
      <alignment horizontal="justify" vertical="top"/>
    </xf>
    <xf numFmtId="0" fontId="1" fillId="0" borderId="6" xfId="0" applyFont="1" applyFill="1" applyBorder="1" applyAlignment="1">
      <alignment vertical="top"/>
    </xf>
    <xf numFmtId="0" fontId="17" fillId="0" borderId="6" xfId="0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justify" vertical="center"/>
    </xf>
    <xf numFmtId="9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Alignment="1">
      <alignment vertical="top"/>
    </xf>
    <xf numFmtId="0" fontId="22" fillId="0" borderId="6" xfId="0" applyFont="1" applyFill="1" applyBorder="1" applyAlignment="1">
      <alignment horizontal="justify" vertical="center"/>
    </xf>
    <xf numFmtId="0" fontId="26" fillId="0" borderId="6" xfId="0" applyFont="1" applyFill="1" applyBorder="1" applyAlignment="1">
      <alignment horizontal="justify" vertical="top"/>
    </xf>
    <xf numFmtId="10" fontId="23" fillId="0" borderId="10" xfId="0" applyNumberFormat="1" applyFont="1" applyFill="1" applyBorder="1" applyAlignment="1">
      <alignment horizontal="justify" vertical="top"/>
    </xf>
    <xf numFmtId="2" fontId="23" fillId="0" borderId="32" xfId="0" applyNumberFormat="1" applyFont="1" applyFill="1" applyBorder="1" applyAlignment="1">
      <alignment horizontal="justify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/>
    </xf>
    <xf numFmtId="165" fontId="21" fillId="0" borderId="17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0" fontId="21" fillId="0" borderId="17" xfId="1" applyFill="1" applyBorder="1" applyAlignment="1">
      <alignment horizontal="center"/>
    </xf>
    <xf numFmtId="0" fontId="21" fillId="0" borderId="18" xfId="1" applyFill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0" fillId="0" borderId="25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65" fontId="27" fillId="0" borderId="0" xfId="1" applyNumberFormat="1" applyFont="1" applyBorder="1" applyAlignment="1">
      <alignment horizontal="center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12" borderId="6" xfId="0" applyNumberFormat="1" applyFont="1" applyFill="1" applyBorder="1" applyAlignment="1">
      <alignment horizontal="center"/>
    </xf>
    <xf numFmtId="1" fontId="0" fillId="12" borderId="6" xfId="0" applyNumberFormat="1" applyFont="1" applyFill="1" applyBorder="1" applyAlignment="1">
      <alignment horizontal="center"/>
    </xf>
    <xf numFmtId="1" fontId="0" fillId="12" borderId="14" xfId="0" applyNumberFormat="1" applyFont="1" applyFill="1" applyBorder="1" applyAlignment="1">
      <alignment horizontal="center"/>
    </xf>
    <xf numFmtId="165" fontId="0" fillId="12" borderId="17" xfId="0" applyNumberFormat="1" applyFont="1" applyFill="1" applyBorder="1" applyAlignment="1">
      <alignment horizontal="center"/>
    </xf>
    <xf numFmtId="165" fontId="0" fillId="12" borderId="18" xfId="0" applyNumberFormat="1" applyFont="1" applyFill="1" applyBorder="1" applyAlignment="1">
      <alignment horizontal="center"/>
    </xf>
    <xf numFmtId="165" fontId="0" fillId="12" borderId="14" xfId="0" applyNumberFormat="1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center" vertical="center"/>
    </xf>
    <xf numFmtId="165" fontId="21" fillId="0" borderId="14" xfId="1" applyNumberFormat="1" applyFont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21" fillId="0" borderId="6" xfId="1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/>
    </xf>
    <xf numFmtId="165" fontId="0" fillId="0" borderId="19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5" fontId="25" fillId="0" borderId="23" xfId="0" applyNumberFormat="1" applyFont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1" fillId="0" borderId="0" xfId="1" applyFill="1" applyBorder="1" applyAlignment="1">
      <alignment horizont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165" fontId="0" fillId="0" borderId="21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165" fontId="32" fillId="0" borderId="14" xfId="1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3" fillId="0" borderId="6" xfId="0" applyFont="1" applyFill="1" applyBorder="1" applyAlignment="1">
      <alignment horizontal="justify" vertical="top"/>
    </xf>
    <xf numFmtId="0" fontId="17" fillId="4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top" wrapText="1"/>
    </xf>
    <xf numFmtId="0" fontId="23" fillId="0" borderId="10" xfId="0" applyFont="1" applyFill="1" applyBorder="1" applyAlignment="1">
      <alignment horizontal="justify" vertical="top"/>
    </xf>
    <xf numFmtId="0" fontId="23" fillId="0" borderId="32" xfId="0" applyFont="1" applyFill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7" xfId="0" applyFont="1" applyFill="1" applyBorder="1" applyAlignment="1">
      <alignment horizontal="left" vertical="top"/>
    </xf>
    <xf numFmtId="0" fontId="23" fillId="0" borderId="8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justify" vertical="center" wrapText="1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justify" vertical="center"/>
    </xf>
    <xf numFmtId="0" fontId="17" fillId="0" borderId="7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justify" vertical="top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left" vertical="top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justify" vertical="top"/>
    </xf>
    <xf numFmtId="0" fontId="17" fillId="0" borderId="7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26" fillId="0" borderId="6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justify" vertical="top"/>
    </xf>
    <xf numFmtId="0" fontId="23" fillId="0" borderId="8" xfId="0" applyFont="1" applyFill="1" applyBorder="1" applyAlignment="1">
      <alignment horizontal="justify" vertical="top"/>
    </xf>
    <xf numFmtId="0" fontId="23" fillId="0" borderId="9" xfId="0" applyFont="1" applyFill="1" applyBorder="1" applyAlignment="1">
      <alignment horizontal="justify" vertical="top"/>
    </xf>
    <xf numFmtId="0" fontId="23" fillId="0" borderId="6" xfId="0" applyFont="1" applyBorder="1" applyAlignment="1">
      <alignment horizontal="justify" vertical="center"/>
    </xf>
    <xf numFmtId="0" fontId="23" fillId="0" borderId="10" xfId="0" applyFont="1" applyFill="1" applyBorder="1" applyAlignment="1">
      <alignment horizontal="justify" vertical="center"/>
    </xf>
    <xf numFmtId="0" fontId="17" fillId="0" borderId="10" xfId="0" applyFont="1" applyFill="1" applyBorder="1" applyAlignment="1">
      <alignment horizontal="justify" vertical="center"/>
    </xf>
    <xf numFmtId="0" fontId="17" fillId="6" borderId="6" xfId="0" applyFont="1" applyFill="1" applyBorder="1" applyAlignment="1">
      <alignment horizontal="justify" vertical="top" wrapText="1"/>
    </xf>
    <xf numFmtId="0" fontId="17" fillId="6" borderId="6" xfId="0" applyFont="1" applyFill="1" applyBorder="1" applyAlignment="1">
      <alignment horizontal="justify" vertical="top" wrapText="1"/>
    </xf>
    <xf numFmtId="0" fontId="17" fillId="6" borderId="6" xfId="0" applyFont="1" applyFill="1" applyBorder="1" applyAlignment="1">
      <alignment horizontal="justify" vertical="top"/>
    </xf>
    <xf numFmtId="0" fontId="29" fillId="6" borderId="0" xfId="0" applyFont="1" applyFill="1" applyAlignment="1">
      <alignment vertical="top"/>
    </xf>
    <xf numFmtId="0" fontId="33" fillId="0" borderId="0" xfId="0" applyFont="1"/>
    <xf numFmtId="0" fontId="0" fillId="6" borderId="0" xfId="0" applyFill="1"/>
    <xf numFmtId="0" fontId="17" fillId="6" borderId="6" xfId="0" applyFont="1" applyFill="1" applyBorder="1" applyAlignment="1">
      <alignment horizontal="justify" vertical="center"/>
    </xf>
    <xf numFmtId="0" fontId="17" fillId="6" borderId="6" xfId="0" applyFont="1" applyFill="1" applyBorder="1" applyAlignment="1">
      <alignment horizontal="justify" vertical="center" wrapText="1"/>
    </xf>
    <xf numFmtId="0" fontId="26" fillId="6" borderId="6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7" sqref="B7"/>
      <selection pane="bottomRight" activeCell="W20" sqref="W20"/>
    </sheetView>
  </sheetViews>
  <sheetFormatPr defaultColWidth="9.109375" defaultRowHeight="13.8" x14ac:dyDescent="0.25"/>
  <cols>
    <col min="1" max="1" width="5.44140625" style="3" customWidth="1"/>
    <col min="2" max="2" width="43.88671875" style="3" customWidth="1"/>
    <col min="3" max="3" width="12.6640625" style="3" customWidth="1"/>
    <col min="4" max="11" width="9.109375" style="3"/>
    <col min="12" max="12" width="11.109375" style="3" customWidth="1"/>
    <col min="13" max="13" width="14.88671875" style="3" customWidth="1"/>
    <col min="14" max="14" width="18.33203125" style="3" customWidth="1"/>
    <col min="15" max="15" width="9.109375" style="3"/>
    <col min="16" max="16" width="18.33203125" style="3" hidden="1" customWidth="1"/>
    <col min="17" max="17" width="0" style="3" hidden="1" customWidth="1"/>
    <col min="18" max="18" width="19.33203125" style="3" hidden="1" customWidth="1"/>
    <col min="19" max="19" width="9.109375" style="3"/>
    <col min="20" max="20" width="13.33203125" style="3" customWidth="1"/>
    <col min="21" max="16384" width="9.109375" style="3"/>
  </cols>
  <sheetData>
    <row r="1" spans="1:23" ht="14.25" customHeight="1" x14ac:dyDescent="0.35">
      <c r="M1" s="13"/>
      <c r="N1" s="12" t="s">
        <v>30</v>
      </c>
    </row>
    <row r="2" spans="1:23" ht="17.399999999999999" x14ac:dyDescent="0.3">
      <c r="B2" s="267" t="s">
        <v>29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23" ht="25.5" customHeight="1" x14ac:dyDescent="0.25">
      <c r="A3" s="1" t="s">
        <v>0</v>
      </c>
      <c r="B3" s="272" t="s">
        <v>2</v>
      </c>
      <c r="C3" s="274" t="s">
        <v>3</v>
      </c>
      <c r="D3" s="275"/>
      <c r="E3" s="275"/>
      <c r="F3" s="275"/>
      <c r="G3" s="275"/>
      <c r="H3" s="275"/>
      <c r="I3" s="275"/>
      <c r="J3" s="275"/>
      <c r="K3" s="275"/>
      <c r="L3" s="276"/>
      <c r="M3" s="272" t="s">
        <v>12</v>
      </c>
      <c r="N3" s="270" t="s">
        <v>11</v>
      </c>
      <c r="P3" s="263" t="s">
        <v>80</v>
      </c>
      <c r="R3" s="265" t="s">
        <v>81</v>
      </c>
    </row>
    <row r="4" spans="1:23" ht="54.75" customHeight="1" x14ac:dyDescent="0.25">
      <c r="A4" s="2" t="s">
        <v>1</v>
      </c>
      <c r="B4" s="273"/>
      <c r="C4" s="8" t="s">
        <v>19</v>
      </c>
      <c r="D4" s="8" t="s">
        <v>20</v>
      </c>
      <c r="E4" s="8" t="s">
        <v>21</v>
      </c>
      <c r="F4" s="4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273"/>
      <c r="N4" s="271"/>
      <c r="P4" s="264"/>
      <c r="R4" s="266"/>
      <c r="S4" s="28" t="s">
        <v>84</v>
      </c>
      <c r="T4" s="28" t="s">
        <v>85</v>
      </c>
      <c r="U4" s="27" t="s">
        <v>86</v>
      </c>
      <c r="W4" s="31" t="s">
        <v>87</v>
      </c>
    </row>
    <row r="5" spans="1:23" ht="21" customHeight="1" x14ac:dyDescent="0.25">
      <c r="A5" s="9"/>
      <c r="B5" s="268" t="s">
        <v>31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9"/>
      <c r="N5" s="6"/>
      <c r="P5" s="24"/>
      <c r="R5" s="24"/>
    </row>
    <row r="6" spans="1:23" ht="19.5" customHeight="1" x14ac:dyDescent="0.25">
      <c r="A6" s="4">
        <v>1</v>
      </c>
      <c r="B6" s="7" t="s">
        <v>33</v>
      </c>
      <c r="C6" s="5"/>
      <c r="D6" s="5"/>
      <c r="E6" s="5"/>
      <c r="F6" s="34"/>
      <c r="G6" s="5"/>
      <c r="H6" s="5"/>
      <c r="I6" s="5"/>
      <c r="J6" s="5"/>
      <c r="K6" s="5"/>
      <c r="L6" s="5"/>
      <c r="M6" s="5">
        <f>SUM(C6:L6)</f>
        <v>0</v>
      </c>
      <c r="N6" s="16">
        <f>M6/10</f>
        <v>0</v>
      </c>
      <c r="P6" s="24"/>
      <c r="R6" s="24"/>
      <c r="S6" s="29">
        <v>80</v>
      </c>
      <c r="T6" s="29">
        <f>S6*0.25</f>
        <v>20</v>
      </c>
      <c r="U6" s="30"/>
      <c r="W6" s="32"/>
    </row>
    <row r="7" spans="1:23" ht="19.5" customHeight="1" x14ac:dyDescent="0.25">
      <c r="A7" s="4">
        <v>2</v>
      </c>
      <c r="B7" s="7" t="s">
        <v>18</v>
      </c>
      <c r="C7" s="5">
        <v>40</v>
      </c>
      <c r="D7" s="5">
        <v>51.3</v>
      </c>
      <c r="E7" s="5">
        <v>40</v>
      </c>
      <c r="F7" s="34">
        <v>40</v>
      </c>
      <c r="G7" s="5">
        <v>40</v>
      </c>
      <c r="H7" s="5">
        <v>40</v>
      </c>
      <c r="I7" s="5">
        <v>49.5</v>
      </c>
      <c r="J7" s="5"/>
      <c r="K7" s="5">
        <v>51</v>
      </c>
      <c r="L7" s="5">
        <v>40</v>
      </c>
      <c r="M7" s="5">
        <f>SUM(C7:L7)</f>
        <v>391.8</v>
      </c>
      <c r="N7" s="16">
        <f>M7/10</f>
        <v>39.18</v>
      </c>
      <c r="P7" s="24">
        <v>50.09</v>
      </c>
      <c r="R7" s="24">
        <v>2.16</v>
      </c>
      <c r="S7" s="29">
        <v>150</v>
      </c>
      <c r="T7" s="29">
        <f t="shared" ref="T7:T57" si="0">S7*0.25</f>
        <v>37.5</v>
      </c>
      <c r="U7" s="30"/>
      <c r="W7" s="32"/>
    </row>
    <row r="8" spans="1:23" ht="19.5" customHeight="1" x14ac:dyDescent="0.25">
      <c r="A8" s="4"/>
      <c r="B8" s="7" t="s">
        <v>83</v>
      </c>
      <c r="C8" s="5"/>
      <c r="D8" s="5"/>
      <c r="E8" s="5">
        <v>5.9</v>
      </c>
      <c r="F8" s="34"/>
      <c r="G8" s="5"/>
      <c r="H8" s="5"/>
      <c r="I8" s="5"/>
      <c r="J8" s="5"/>
      <c r="K8" s="5"/>
      <c r="L8" s="5"/>
      <c r="M8" s="5">
        <f>SUM(C8:L8)</f>
        <v>5.9</v>
      </c>
      <c r="N8" s="16">
        <f>M8/10</f>
        <v>0.59000000000000008</v>
      </c>
      <c r="P8" s="24">
        <v>130</v>
      </c>
      <c r="R8" s="24">
        <v>7.6999999999999999E-2</v>
      </c>
      <c r="S8" s="29"/>
      <c r="T8" s="29"/>
      <c r="U8" s="30"/>
      <c r="W8" s="32"/>
    </row>
    <row r="9" spans="1:23" ht="19.5" customHeight="1" x14ac:dyDescent="0.25">
      <c r="A9" s="4">
        <v>3</v>
      </c>
      <c r="B9" s="7" t="s">
        <v>34</v>
      </c>
      <c r="C9" s="5"/>
      <c r="D9" s="5">
        <v>1.3</v>
      </c>
      <c r="E9" s="5"/>
      <c r="F9" s="34">
        <v>6</v>
      </c>
      <c r="G9" s="5"/>
      <c r="H9" s="5"/>
      <c r="I9" s="5">
        <v>2.2000000000000002</v>
      </c>
      <c r="J9" s="5"/>
      <c r="K9" s="5">
        <v>6.2</v>
      </c>
      <c r="L9" s="5"/>
      <c r="M9" s="5">
        <f t="shared" ref="M9:M57" si="1">SUM(C9:L9)</f>
        <v>15.7</v>
      </c>
      <c r="N9" s="16">
        <f t="shared" ref="N9:N57" si="2">M9/10</f>
        <v>1.5699999999999998</v>
      </c>
      <c r="P9" s="24">
        <v>52</v>
      </c>
      <c r="R9" s="24">
        <v>0.05</v>
      </c>
      <c r="S9" s="29">
        <v>15</v>
      </c>
      <c r="T9" s="29">
        <f t="shared" si="0"/>
        <v>3.75</v>
      </c>
      <c r="U9" s="30"/>
      <c r="W9" s="32"/>
    </row>
    <row r="10" spans="1:23" ht="19.5" customHeight="1" x14ac:dyDescent="0.25">
      <c r="A10" s="4">
        <v>4</v>
      </c>
      <c r="B10" s="15" t="s">
        <v>64</v>
      </c>
      <c r="C10" s="5"/>
      <c r="D10" s="5"/>
      <c r="E10" s="5"/>
      <c r="F10" s="34"/>
      <c r="G10" s="5"/>
      <c r="H10" s="5"/>
      <c r="I10" s="5"/>
      <c r="J10" s="5"/>
      <c r="K10" s="5"/>
      <c r="L10" s="5"/>
      <c r="M10" s="5">
        <f t="shared" si="1"/>
        <v>0</v>
      </c>
      <c r="N10" s="16"/>
      <c r="P10" s="24"/>
      <c r="R10" s="24"/>
      <c r="S10" s="29">
        <v>45</v>
      </c>
      <c r="T10" s="29">
        <f t="shared" si="0"/>
        <v>11.25</v>
      </c>
      <c r="U10" s="30"/>
      <c r="W10" s="32"/>
    </row>
    <row r="11" spans="1:23" ht="19.5" customHeight="1" x14ac:dyDescent="0.25">
      <c r="A11" s="4"/>
      <c r="B11" s="14" t="s">
        <v>35</v>
      </c>
      <c r="C11" s="5"/>
      <c r="D11" s="5">
        <v>38</v>
      </c>
      <c r="E11" s="5"/>
      <c r="F11" s="34"/>
      <c r="G11" s="5"/>
      <c r="H11" s="5"/>
      <c r="I11" s="5">
        <v>16</v>
      </c>
      <c r="J11" s="5"/>
      <c r="K11" s="5"/>
      <c r="L11" s="5"/>
      <c r="M11" s="5">
        <f t="shared" si="1"/>
        <v>54</v>
      </c>
      <c r="N11" s="16">
        <f t="shared" ref="N11:N17" si="3">M11/10</f>
        <v>5.4</v>
      </c>
      <c r="P11" s="24">
        <v>80</v>
      </c>
      <c r="R11" s="24">
        <v>0.59</v>
      </c>
      <c r="S11" s="29"/>
      <c r="T11" s="29"/>
      <c r="U11" s="30"/>
      <c r="W11" s="32"/>
    </row>
    <row r="12" spans="1:23" ht="19.5" customHeight="1" x14ac:dyDescent="0.25">
      <c r="A12" s="4"/>
      <c r="B12" s="14" t="s">
        <v>36</v>
      </c>
      <c r="C12" s="5"/>
      <c r="D12" s="5"/>
      <c r="E12" s="5"/>
      <c r="F12" s="34"/>
      <c r="G12" s="5"/>
      <c r="H12" s="5">
        <v>50</v>
      </c>
      <c r="I12" s="5"/>
      <c r="J12" s="5"/>
      <c r="K12" s="5"/>
      <c r="L12" s="5"/>
      <c r="M12" s="5">
        <f t="shared" si="1"/>
        <v>50</v>
      </c>
      <c r="N12" s="16">
        <f t="shared" si="3"/>
        <v>5</v>
      </c>
      <c r="P12" s="24">
        <v>95</v>
      </c>
      <c r="R12" s="24">
        <v>0.48</v>
      </c>
      <c r="S12" s="29"/>
      <c r="T12" s="29"/>
      <c r="U12" s="30"/>
      <c r="W12" s="32"/>
    </row>
    <row r="13" spans="1:23" ht="19.5" customHeight="1" x14ac:dyDescent="0.25">
      <c r="A13" s="4"/>
      <c r="B13" s="14" t="s">
        <v>37</v>
      </c>
      <c r="C13" s="5"/>
      <c r="D13" s="5"/>
      <c r="E13" s="5"/>
      <c r="F13" s="34"/>
      <c r="G13" s="5"/>
      <c r="H13" s="5"/>
      <c r="I13" s="5"/>
      <c r="J13" s="5"/>
      <c r="K13" s="5"/>
      <c r="L13" s="5"/>
      <c r="M13" s="5">
        <f t="shared" si="1"/>
        <v>0</v>
      </c>
      <c r="N13" s="16">
        <f t="shared" si="3"/>
        <v>0</v>
      </c>
      <c r="P13" s="24"/>
      <c r="R13" s="24"/>
      <c r="S13" s="29"/>
      <c r="T13" s="29"/>
      <c r="U13" s="30"/>
      <c r="W13" s="32"/>
    </row>
    <row r="14" spans="1:23" ht="19.5" customHeight="1" x14ac:dyDescent="0.25">
      <c r="A14" s="4"/>
      <c r="B14" s="14" t="s">
        <v>38</v>
      </c>
      <c r="C14" s="5"/>
      <c r="D14" s="5"/>
      <c r="E14" s="5"/>
      <c r="F14" s="34"/>
      <c r="G14" s="5"/>
      <c r="H14" s="5"/>
      <c r="I14" s="5"/>
      <c r="J14" s="5"/>
      <c r="K14" s="5"/>
      <c r="L14" s="5"/>
      <c r="M14" s="5">
        <f t="shared" si="1"/>
        <v>0</v>
      </c>
      <c r="N14" s="16">
        <f t="shared" si="3"/>
        <v>0</v>
      </c>
      <c r="P14" s="24"/>
      <c r="R14" s="24"/>
      <c r="S14" s="29"/>
      <c r="T14" s="29"/>
      <c r="U14" s="30"/>
      <c r="W14" s="32"/>
    </row>
    <row r="15" spans="1:23" ht="19.5" customHeight="1" x14ac:dyDescent="0.25">
      <c r="A15" s="4"/>
      <c r="B15" s="14" t="s">
        <v>39</v>
      </c>
      <c r="C15" s="5"/>
      <c r="D15" s="5"/>
      <c r="E15" s="5"/>
      <c r="F15" s="34"/>
      <c r="G15" s="5"/>
      <c r="H15" s="5"/>
      <c r="I15" s="5">
        <v>18</v>
      </c>
      <c r="J15" s="5"/>
      <c r="K15" s="5"/>
      <c r="L15" s="5"/>
      <c r="M15" s="5">
        <f t="shared" si="1"/>
        <v>18</v>
      </c>
      <c r="N15" s="16">
        <f t="shared" si="3"/>
        <v>1.8</v>
      </c>
      <c r="P15" s="24">
        <v>35</v>
      </c>
      <c r="R15" s="24">
        <v>6.3E-2</v>
      </c>
      <c r="S15" s="29"/>
      <c r="T15" s="29"/>
      <c r="U15" s="30"/>
      <c r="W15" s="32"/>
    </row>
    <row r="16" spans="1:23" ht="19.5" customHeight="1" x14ac:dyDescent="0.25">
      <c r="A16" s="4"/>
      <c r="B16" s="14" t="s">
        <v>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1"/>
        <v>0</v>
      </c>
      <c r="N16" s="16">
        <f t="shared" si="3"/>
        <v>0</v>
      </c>
      <c r="P16" s="24"/>
      <c r="R16" s="24"/>
      <c r="S16" s="29"/>
      <c r="T16" s="29"/>
      <c r="U16" s="30"/>
      <c r="W16" s="32"/>
    </row>
    <row r="17" spans="1:24" ht="19.5" customHeight="1" x14ac:dyDescent="0.25">
      <c r="A17" s="4"/>
      <c r="B17" s="14" t="s">
        <v>41</v>
      </c>
      <c r="C17" s="5">
        <v>40</v>
      </c>
      <c r="D17" s="5"/>
      <c r="E17" s="5"/>
      <c r="F17" s="34"/>
      <c r="G17" s="5"/>
      <c r="H17" s="5"/>
      <c r="I17" s="5"/>
      <c r="J17" s="5"/>
      <c r="K17" s="5"/>
      <c r="L17" s="5"/>
      <c r="M17" s="5">
        <f t="shared" si="1"/>
        <v>40</v>
      </c>
      <c r="N17" s="16">
        <f t="shared" si="3"/>
        <v>4</v>
      </c>
      <c r="P17" s="24">
        <v>40</v>
      </c>
      <c r="R17" s="24">
        <v>0.16</v>
      </c>
      <c r="S17" s="29"/>
      <c r="T17" s="29"/>
      <c r="U17" s="30"/>
      <c r="W17" s="32"/>
    </row>
    <row r="18" spans="1:24" ht="19.5" customHeight="1" x14ac:dyDescent="0.25">
      <c r="A18" s="4">
        <v>5</v>
      </c>
      <c r="B18" s="7" t="s">
        <v>13</v>
      </c>
      <c r="C18" s="5"/>
      <c r="D18" s="5"/>
      <c r="E18" s="5"/>
      <c r="F18" s="34">
        <v>52</v>
      </c>
      <c r="G18" s="5"/>
      <c r="H18" s="5"/>
      <c r="I18" s="5"/>
      <c r="J18" s="5"/>
      <c r="K18" s="5">
        <v>52</v>
      </c>
      <c r="L18" s="5"/>
      <c r="M18" s="5">
        <f t="shared" si="1"/>
        <v>104</v>
      </c>
      <c r="N18" s="16">
        <f t="shared" si="2"/>
        <v>10.4</v>
      </c>
      <c r="P18" s="24">
        <v>65</v>
      </c>
      <c r="R18" s="24">
        <v>0.68</v>
      </c>
      <c r="S18" s="29">
        <v>15</v>
      </c>
      <c r="T18" s="29">
        <f t="shared" si="0"/>
        <v>3.75</v>
      </c>
      <c r="U18" s="30"/>
      <c r="W18" s="32"/>
    </row>
    <row r="19" spans="1:24" ht="19.5" customHeight="1" x14ac:dyDescent="0.25">
      <c r="A19" s="4">
        <v>6</v>
      </c>
      <c r="B19" s="7" t="s">
        <v>6</v>
      </c>
      <c r="C19" s="5"/>
      <c r="D19" s="5"/>
      <c r="E19" s="5"/>
      <c r="F19" s="34"/>
      <c r="G19" s="5"/>
      <c r="H19" s="5"/>
      <c r="I19" s="5"/>
      <c r="J19" s="5"/>
      <c r="K19" s="5"/>
      <c r="L19" s="5"/>
      <c r="M19" s="5">
        <f t="shared" si="1"/>
        <v>0</v>
      </c>
      <c r="N19" s="16">
        <f t="shared" si="2"/>
        <v>0</v>
      </c>
      <c r="P19" s="24"/>
      <c r="R19" s="24"/>
      <c r="S19" s="29">
        <v>187</v>
      </c>
      <c r="T19" s="29">
        <f t="shared" si="0"/>
        <v>46.75</v>
      </c>
      <c r="U19" s="30"/>
      <c r="W19" s="32"/>
    </row>
    <row r="20" spans="1:24" ht="46.8" x14ac:dyDescent="0.25">
      <c r="A20" s="4">
        <v>7</v>
      </c>
      <c r="B20" s="47" t="s">
        <v>42</v>
      </c>
      <c r="C20" s="42">
        <f>C21+C22+C23+C24+C25+C26+C27</f>
        <v>0</v>
      </c>
      <c r="D20" s="42">
        <v>48.5</v>
      </c>
      <c r="E20" s="42">
        <f t="shared" ref="E20:M20" si="4">E21+E22+E23+E24+E25+E26+E27</f>
        <v>56.3</v>
      </c>
      <c r="F20" s="36">
        <f t="shared" si="4"/>
        <v>18</v>
      </c>
      <c r="G20" s="42">
        <f t="shared" si="4"/>
        <v>42</v>
      </c>
      <c r="H20" s="42">
        <f t="shared" si="4"/>
        <v>0</v>
      </c>
      <c r="I20" s="42">
        <f t="shared" si="4"/>
        <v>43</v>
      </c>
      <c r="J20" s="42">
        <f t="shared" si="4"/>
        <v>0</v>
      </c>
      <c r="K20" s="42">
        <f t="shared" si="4"/>
        <v>75</v>
      </c>
      <c r="L20" s="42">
        <f t="shared" si="4"/>
        <v>42</v>
      </c>
      <c r="M20" s="42">
        <f t="shared" si="4"/>
        <v>321</v>
      </c>
      <c r="N20" s="43">
        <f>M20/10</f>
        <v>32.1</v>
      </c>
      <c r="P20" s="24"/>
      <c r="R20" s="24"/>
      <c r="S20" s="29">
        <v>280</v>
      </c>
      <c r="T20" s="29">
        <f>S20*0.2</f>
        <v>56</v>
      </c>
      <c r="U20" s="30"/>
      <c r="W20" s="33">
        <v>75</v>
      </c>
      <c r="X20" s="49">
        <f>W20-N20</f>
        <v>42.9</v>
      </c>
    </row>
    <row r="21" spans="1:24" ht="15.6" x14ac:dyDescent="0.25">
      <c r="A21" s="4"/>
      <c r="B21" s="14" t="s">
        <v>43</v>
      </c>
      <c r="C21" s="5"/>
      <c r="D21" s="5"/>
      <c r="E21" s="5"/>
      <c r="F21" s="34"/>
      <c r="G21" s="5"/>
      <c r="H21" s="5"/>
      <c r="I21" s="5"/>
      <c r="J21" s="5"/>
      <c r="K21" s="5"/>
      <c r="L21" s="5"/>
      <c r="M21" s="5">
        <f t="shared" ref="M21:M29" si="5">SUM(C21:L21)</f>
        <v>0</v>
      </c>
      <c r="N21" s="16">
        <f t="shared" si="2"/>
        <v>0</v>
      </c>
      <c r="P21" s="24"/>
      <c r="R21" s="24"/>
      <c r="S21" s="29"/>
      <c r="T21" s="29"/>
      <c r="U21" s="30"/>
      <c r="W21" s="32"/>
    </row>
    <row r="22" spans="1:24" ht="15.6" x14ac:dyDescent="0.25">
      <c r="A22" s="4"/>
      <c r="B22" s="14" t="s">
        <v>44</v>
      </c>
      <c r="C22" s="5"/>
      <c r="D22" s="5">
        <v>0.6</v>
      </c>
      <c r="E22" s="5"/>
      <c r="F22" s="34">
        <v>18</v>
      </c>
      <c r="G22" s="5"/>
      <c r="H22" s="5"/>
      <c r="I22" s="5"/>
      <c r="J22" s="5"/>
      <c r="K22" s="5">
        <v>31.5</v>
      </c>
      <c r="L22" s="5"/>
      <c r="M22" s="5">
        <f t="shared" si="5"/>
        <v>50.1</v>
      </c>
      <c r="N22" s="16">
        <f t="shared" si="2"/>
        <v>5.01</v>
      </c>
      <c r="P22" s="24">
        <v>21</v>
      </c>
      <c r="R22" s="24">
        <v>7.6999999999999999E-2</v>
      </c>
      <c r="S22" s="29"/>
      <c r="T22" s="29"/>
      <c r="U22" s="30"/>
      <c r="W22" s="32"/>
    </row>
    <row r="23" spans="1:24" ht="15.6" x14ac:dyDescent="0.25">
      <c r="A23" s="4"/>
      <c r="B23" s="14" t="s">
        <v>45</v>
      </c>
      <c r="C23" s="5"/>
      <c r="D23" s="5">
        <v>2.1</v>
      </c>
      <c r="E23" s="5">
        <v>56.3</v>
      </c>
      <c r="F23" s="34"/>
      <c r="G23" s="5"/>
      <c r="H23" s="5"/>
      <c r="I23" s="5">
        <v>43</v>
      </c>
      <c r="J23" s="5"/>
      <c r="K23" s="5">
        <v>1.5</v>
      </c>
      <c r="L23" s="5"/>
      <c r="M23" s="5">
        <f t="shared" si="5"/>
        <v>102.9</v>
      </c>
      <c r="N23" s="16">
        <f t="shared" si="2"/>
        <v>10.290000000000001</v>
      </c>
      <c r="P23" s="24">
        <v>30</v>
      </c>
      <c r="R23" s="24">
        <v>0.34</v>
      </c>
      <c r="S23" s="29"/>
      <c r="T23" s="29"/>
      <c r="U23" s="30"/>
      <c r="W23" s="32"/>
    </row>
    <row r="24" spans="1:24" ht="15.6" x14ac:dyDescent="0.25">
      <c r="A24" s="4"/>
      <c r="B24" s="14" t="s">
        <v>46</v>
      </c>
      <c r="C24" s="5"/>
      <c r="D24" s="5"/>
      <c r="E24" s="5"/>
      <c r="F24" s="34"/>
      <c r="G24" s="5"/>
      <c r="H24" s="5"/>
      <c r="I24" s="5"/>
      <c r="J24" s="5"/>
      <c r="K24" s="5"/>
      <c r="L24" s="5"/>
      <c r="M24" s="5">
        <f t="shared" si="5"/>
        <v>0</v>
      </c>
      <c r="N24" s="16">
        <f t="shared" si="2"/>
        <v>0</v>
      </c>
      <c r="P24" s="24"/>
      <c r="R24" s="24"/>
      <c r="S24" s="29"/>
      <c r="T24" s="29"/>
      <c r="U24" s="30"/>
      <c r="W24" s="32"/>
    </row>
    <row r="25" spans="1:24" ht="15.6" x14ac:dyDescent="0.25">
      <c r="A25" s="4"/>
      <c r="B25" s="14" t="s">
        <v>47</v>
      </c>
      <c r="C25" s="5"/>
      <c r="D25" s="5"/>
      <c r="E25" s="5"/>
      <c r="F25" s="34"/>
      <c r="G25" s="5"/>
      <c r="H25" s="5"/>
      <c r="I25" s="5"/>
      <c r="J25" s="5"/>
      <c r="K25" s="5"/>
      <c r="L25" s="5"/>
      <c r="M25" s="5">
        <f t="shared" si="5"/>
        <v>0</v>
      </c>
      <c r="N25" s="16">
        <f t="shared" si="2"/>
        <v>0</v>
      </c>
      <c r="P25" s="24"/>
      <c r="R25" s="24"/>
      <c r="S25" s="29"/>
      <c r="T25" s="29"/>
      <c r="U25" s="30"/>
      <c r="W25" s="32"/>
    </row>
    <row r="26" spans="1:24" ht="15.6" x14ac:dyDescent="0.25">
      <c r="A26" s="4"/>
      <c r="B26" s="14" t="s">
        <v>48</v>
      </c>
      <c r="C26" s="5"/>
      <c r="D26" s="5">
        <v>42</v>
      </c>
      <c r="E26" s="5"/>
      <c r="F26" s="34"/>
      <c r="G26" s="50">
        <v>42</v>
      </c>
      <c r="H26" s="5"/>
      <c r="I26" s="5"/>
      <c r="J26" s="5"/>
      <c r="K26" s="5">
        <v>42</v>
      </c>
      <c r="L26" s="50">
        <v>42</v>
      </c>
      <c r="M26" s="5">
        <f t="shared" si="5"/>
        <v>168</v>
      </c>
      <c r="N26" s="16">
        <f t="shared" si="2"/>
        <v>16.8</v>
      </c>
      <c r="P26" s="24">
        <v>140</v>
      </c>
      <c r="R26" s="24">
        <v>1.18</v>
      </c>
      <c r="S26" s="29"/>
      <c r="T26" s="29"/>
      <c r="U26" s="30"/>
      <c r="W26" s="32"/>
    </row>
    <row r="27" spans="1:24" ht="15.6" x14ac:dyDescent="0.25">
      <c r="A27" s="4"/>
      <c r="B27" s="14" t="s">
        <v>49</v>
      </c>
      <c r="C27" s="5"/>
      <c r="D27" s="5"/>
      <c r="E27" s="5"/>
      <c r="F27" s="34"/>
      <c r="G27" s="5"/>
      <c r="H27" s="5"/>
      <c r="I27" s="5"/>
      <c r="J27" s="5"/>
      <c r="K27" s="5"/>
      <c r="L27" s="5"/>
      <c r="M27" s="5">
        <f t="shared" si="5"/>
        <v>0</v>
      </c>
      <c r="N27" s="16">
        <f t="shared" si="2"/>
        <v>0</v>
      </c>
      <c r="P27" s="24"/>
      <c r="R27" s="24"/>
      <c r="S27" s="29"/>
      <c r="T27" s="29"/>
      <c r="U27" s="30"/>
      <c r="W27" s="32"/>
    </row>
    <row r="28" spans="1:24" ht="19.5" customHeight="1" x14ac:dyDescent="0.25">
      <c r="A28" s="4">
        <v>8</v>
      </c>
      <c r="B28" s="15" t="s">
        <v>10</v>
      </c>
      <c r="C28" s="5">
        <f>C29+C30+C31+C32+C33+C34</f>
        <v>100</v>
      </c>
      <c r="D28" s="5">
        <f t="shared" ref="D28:L28" si="6">D29+D30+D31+D32+D33+D34</f>
        <v>0</v>
      </c>
      <c r="E28" s="5">
        <f t="shared" si="6"/>
        <v>21.5</v>
      </c>
      <c r="F28" s="34">
        <f t="shared" si="6"/>
        <v>105</v>
      </c>
      <c r="G28" s="5">
        <f t="shared" si="6"/>
        <v>100</v>
      </c>
      <c r="H28" s="5">
        <f t="shared" si="6"/>
        <v>100</v>
      </c>
      <c r="I28" s="5">
        <f t="shared" si="6"/>
        <v>0</v>
      </c>
      <c r="J28" s="5"/>
      <c r="K28" s="5">
        <f t="shared" si="6"/>
        <v>0</v>
      </c>
      <c r="L28" s="5">
        <f t="shared" si="6"/>
        <v>0</v>
      </c>
      <c r="M28" s="5">
        <f t="shared" si="5"/>
        <v>426.5</v>
      </c>
      <c r="N28" s="16">
        <f t="shared" si="2"/>
        <v>42.65</v>
      </c>
      <c r="P28" s="24"/>
      <c r="R28" s="24"/>
      <c r="S28" s="29">
        <v>185</v>
      </c>
      <c r="T28" s="29">
        <f t="shared" si="0"/>
        <v>46.25</v>
      </c>
      <c r="U28" s="30"/>
      <c r="W28" s="32"/>
    </row>
    <row r="29" spans="1:24" ht="19.5" customHeight="1" x14ac:dyDescent="0.25">
      <c r="A29" s="4"/>
      <c r="B29" s="14" t="s">
        <v>50</v>
      </c>
      <c r="C29" s="5">
        <v>100</v>
      </c>
      <c r="D29" s="5"/>
      <c r="E29" s="5">
        <v>21.5</v>
      </c>
      <c r="F29" s="34"/>
      <c r="G29" s="5">
        <v>100</v>
      </c>
      <c r="H29" s="5"/>
      <c r="I29" s="5"/>
      <c r="J29" s="5"/>
      <c r="K29" s="5"/>
      <c r="L29" s="5"/>
      <c r="M29" s="5">
        <f t="shared" si="5"/>
        <v>221.5</v>
      </c>
      <c r="N29" s="16">
        <f t="shared" si="2"/>
        <v>22.15</v>
      </c>
      <c r="P29" s="24">
        <v>65</v>
      </c>
      <c r="R29" s="24">
        <v>1.44</v>
      </c>
      <c r="S29" s="29"/>
      <c r="T29" s="29"/>
      <c r="U29" s="30"/>
      <c r="W29" s="32"/>
    </row>
    <row r="30" spans="1:24" ht="19.5" customHeight="1" x14ac:dyDescent="0.25">
      <c r="A30" s="4"/>
      <c r="B30" s="14" t="s">
        <v>51</v>
      </c>
      <c r="C30" s="5"/>
      <c r="D30" s="5"/>
      <c r="E30" s="5"/>
      <c r="F30" s="34">
        <v>100</v>
      </c>
      <c r="G30" s="5"/>
      <c r="H30" s="5"/>
      <c r="I30" s="5"/>
      <c r="J30" s="5"/>
      <c r="K30" s="5"/>
      <c r="L30" s="5"/>
      <c r="M30" s="5">
        <f t="shared" ref="M30:M34" si="7">SUM(C30:L30)</f>
        <v>100</v>
      </c>
      <c r="N30" s="16">
        <f t="shared" si="2"/>
        <v>10</v>
      </c>
      <c r="P30" s="24">
        <v>200</v>
      </c>
      <c r="R30" s="24">
        <v>4</v>
      </c>
      <c r="S30" s="29"/>
      <c r="T30" s="29"/>
      <c r="U30" s="30"/>
      <c r="W30" s="32"/>
    </row>
    <row r="31" spans="1:24" ht="19.5" customHeight="1" x14ac:dyDescent="0.25">
      <c r="A31" s="4"/>
      <c r="B31" s="14" t="s">
        <v>52</v>
      </c>
      <c r="C31" s="5"/>
      <c r="D31" s="5"/>
      <c r="E31" s="5"/>
      <c r="F31" s="34"/>
      <c r="G31" s="5"/>
      <c r="H31" s="5"/>
      <c r="I31" s="5"/>
      <c r="J31" s="5"/>
      <c r="K31" s="5"/>
      <c r="L31" s="5"/>
      <c r="M31" s="5">
        <f t="shared" si="7"/>
        <v>0</v>
      </c>
      <c r="N31" s="16">
        <f t="shared" si="2"/>
        <v>0</v>
      </c>
      <c r="P31" s="24">
        <v>135</v>
      </c>
      <c r="R31" s="24">
        <v>1.35</v>
      </c>
      <c r="S31" s="29"/>
      <c r="T31" s="29"/>
      <c r="U31" s="30"/>
      <c r="W31" s="32"/>
    </row>
    <row r="32" spans="1:24" ht="19.5" customHeight="1" x14ac:dyDescent="0.25">
      <c r="A32" s="4"/>
      <c r="B32" s="14" t="s">
        <v>53</v>
      </c>
      <c r="C32" s="5"/>
      <c r="D32" s="5"/>
      <c r="E32" s="5"/>
      <c r="F32" s="34"/>
      <c r="G32" s="5"/>
      <c r="H32" s="5">
        <v>100</v>
      </c>
      <c r="I32" s="5"/>
      <c r="J32" s="5"/>
      <c r="K32" s="5"/>
      <c r="L32" s="5"/>
      <c r="M32" s="5">
        <f t="shared" si="7"/>
        <v>100</v>
      </c>
      <c r="N32" s="16">
        <f t="shared" si="2"/>
        <v>10</v>
      </c>
      <c r="P32" s="24">
        <v>180</v>
      </c>
      <c r="R32" s="24">
        <v>1.8</v>
      </c>
      <c r="S32" s="29"/>
      <c r="T32" s="29"/>
      <c r="U32" s="30"/>
      <c r="W32" s="32"/>
    </row>
    <row r="33" spans="1:24" ht="19.5" customHeight="1" x14ac:dyDescent="0.25">
      <c r="A33" s="4"/>
      <c r="B33" s="14" t="s">
        <v>54</v>
      </c>
      <c r="C33" s="5"/>
      <c r="D33" s="5"/>
      <c r="E33" s="5"/>
      <c r="F33" s="34"/>
      <c r="G33" s="5"/>
      <c r="H33" s="5"/>
      <c r="I33" s="5"/>
      <c r="J33" s="5"/>
      <c r="K33" s="5"/>
      <c r="L33" s="5"/>
      <c r="M33" s="5">
        <f t="shared" si="7"/>
        <v>0</v>
      </c>
      <c r="N33" s="16">
        <f t="shared" si="2"/>
        <v>0</v>
      </c>
      <c r="P33" s="24"/>
      <c r="R33" s="24"/>
      <c r="S33" s="29"/>
      <c r="T33" s="29"/>
      <c r="U33" s="30"/>
      <c r="W33" s="32"/>
    </row>
    <row r="34" spans="1:24" ht="19.5" customHeight="1" x14ac:dyDescent="0.25">
      <c r="A34" s="4"/>
      <c r="B34" s="14" t="s">
        <v>55</v>
      </c>
      <c r="C34" s="5"/>
      <c r="D34" s="5"/>
      <c r="E34" s="5"/>
      <c r="F34" s="34">
        <v>5</v>
      </c>
      <c r="G34" s="5"/>
      <c r="H34" s="5"/>
      <c r="I34" s="5"/>
      <c r="J34" s="5"/>
      <c r="K34" s="5"/>
      <c r="L34" s="5"/>
      <c r="M34" s="5">
        <f t="shared" si="7"/>
        <v>5</v>
      </c>
      <c r="N34" s="16">
        <f t="shared" si="2"/>
        <v>0.5</v>
      </c>
      <c r="P34" s="24">
        <v>150</v>
      </c>
      <c r="R34" s="24">
        <v>7.4999999999999997E-2</v>
      </c>
      <c r="S34" s="29"/>
      <c r="T34" s="29"/>
      <c r="U34" s="30"/>
      <c r="W34" s="32"/>
    </row>
    <row r="35" spans="1:24" ht="19.5" customHeight="1" x14ac:dyDescent="0.25">
      <c r="A35" s="4">
        <v>9</v>
      </c>
      <c r="B35" s="7" t="s">
        <v>9</v>
      </c>
      <c r="C35" s="5"/>
      <c r="D35" s="5"/>
      <c r="E35" s="5"/>
      <c r="F35" s="34"/>
      <c r="G35" s="5"/>
      <c r="H35" s="5"/>
      <c r="I35" s="5"/>
      <c r="J35" s="5"/>
      <c r="K35" s="5"/>
      <c r="L35" s="5"/>
      <c r="M35" s="5">
        <f t="shared" si="1"/>
        <v>0</v>
      </c>
      <c r="N35" s="16">
        <f t="shared" si="2"/>
        <v>0</v>
      </c>
      <c r="P35" s="24"/>
      <c r="R35" s="24"/>
      <c r="S35" s="29">
        <v>15</v>
      </c>
      <c r="T35" s="29">
        <f t="shared" si="0"/>
        <v>3.75</v>
      </c>
      <c r="U35" s="30"/>
      <c r="W35" s="32"/>
    </row>
    <row r="36" spans="1:24" ht="31.2" x14ac:dyDescent="0.25">
      <c r="A36" s="4">
        <v>10</v>
      </c>
      <c r="B36" s="7" t="s">
        <v>56</v>
      </c>
      <c r="C36" s="5"/>
      <c r="D36" s="5"/>
      <c r="E36" s="5"/>
      <c r="F36" s="34"/>
      <c r="G36" s="5"/>
      <c r="H36" s="5"/>
      <c r="I36" s="5"/>
      <c r="J36" s="5"/>
      <c r="K36" s="5"/>
      <c r="L36" s="5"/>
      <c r="M36" s="5">
        <f t="shared" ref="M36" si="8">SUM(C36:L36)</f>
        <v>0</v>
      </c>
      <c r="N36" s="16">
        <f t="shared" ref="N36" si="9">M36/10</f>
        <v>0</v>
      </c>
      <c r="P36" s="24"/>
      <c r="R36" s="24"/>
      <c r="S36" s="29">
        <v>200</v>
      </c>
      <c r="T36" s="29">
        <f t="shared" si="0"/>
        <v>50</v>
      </c>
      <c r="U36" s="30"/>
      <c r="W36" s="32"/>
    </row>
    <row r="37" spans="1:24" ht="19.5" customHeight="1" x14ac:dyDescent="0.25">
      <c r="A37" s="4">
        <v>11</v>
      </c>
      <c r="B37" s="41" t="s">
        <v>70</v>
      </c>
      <c r="C37" s="42"/>
      <c r="D37" s="42">
        <v>63.4</v>
      </c>
      <c r="E37" s="42"/>
      <c r="F37" s="36"/>
      <c r="G37" s="42"/>
      <c r="H37" s="42"/>
      <c r="I37" s="42">
        <v>65.7</v>
      </c>
      <c r="J37" s="42"/>
      <c r="K37" s="42">
        <v>69.400000000000006</v>
      </c>
      <c r="L37" s="42"/>
      <c r="M37" s="42">
        <f t="shared" si="1"/>
        <v>198.5</v>
      </c>
      <c r="N37" s="43">
        <f t="shared" si="2"/>
        <v>19.850000000000001</v>
      </c>
      <c r="O37" s="44"/>
      <c r="P37" s="45">
        <v>500</v>
      </c>
      <c r="Q37" s="44"/>
      <c r="R37" s="45">
        <v>13.75</v>
      </c>
      <c r="S37" s="46">
        <v>70</v>
      </c>
      <c r="T37" s="46">
        <f t="shared" si="0"/>
        <v>17.5</v>
      </c>
      <c r="U37" s="30"/>
      <c r="W37" s="32"/>
    </row>
    <row r="38" spans="1:24" ht="19.5" customHeight="1" x14ac:dyDescent="0.25">
      <c r="A38" s="4">
        <v>12</v>
      </c>
      <c r="B38" s="7" t="s">
        <v>57</v>
      </c>
      <c r="C38" s="5"/>
      <c r="D38" s="5"/>
      <c r="E38" s="5"/>
      <c r="F38" s="34"/>
      <c r="G38" s="5"/>
      <c r="H38" s="5"/>
      <c r="I38" s="5"/>
      <c r="J38" s="5"/>
      <c r="K38" s="5"/>
      <c r="L38" s="5"/>
      <c r="M38" s="5">
        <f t="shared" ref="M38" si="10">SUM(C38:L38)</f>
        <v>0</v>
      </c>
      <c r="N38" s="16">
        <f t="shared" ref="N38" si="11">M38/10</f>
        <v>0</v>
      </c>
      <c r="P38" s="24"/>
      <c r="R38" s="24"/>
      <c r="S38" s="29">
        <v>30</v>
      </c>
      <c r="T38" s="29">
        <f t="shared" si="0"/>
        <v>7.5</v>
      </c>
      <c r="U38" s="30"/>
      <c r="W38" s="32"/>
    </row>
    <row r="39" spans="1:24" ht="31.2" x14ac:dyDescent="0.25">
      <c r="A39" s="4">
        <v>13</v>
      </c>
      <c r="B39" s="35" t="s">
        <v>58</v>
      </c>
      <c r="C39" s="36"/>
      <c r="D39" s="36"/>
      <c r="E39" s="36"/>
      <c r="F39" s="36">
        <v>142</v>
      </c>
      <c r="G39" s="36"/>
      <c r="H39" s="36"/>
      <c r="I39" s="36"/>
      <c r="J39" s="36"/>
      <c r="K39" s="36"/>
      <c r="L39" s="36"/>
      <c r="M39" s="36">
        <f t="shared" si="1"/>
        <v>142</v>
      </c>
      <c r="N39" s="37">
        <f t="shared" si="2"/>
        <v>14.2</v>
      </c>
      <c r="O39" s="38"/>
      <c r="P39" s="39"/>
      <c r="Q39" s="38"/>
      <c r="R39" s="39"/>
      <c r="S39" s="40">
        <v>35</v>
      </c>
      <c r="T39" s="40">
        <f t="shared" si="0"/>
        <v>8.75</v>
      </c>
      <c r="U39" s="30"/>
      <c r="W39" s="33">
        <v>11</v>
      </c>
      <c r="X39" s="49">
        <f>W39-N39</f>
        <v>-3.1999999999999993</v>
      </c>
    </row>
    <row r="40" spans="1:24" ht="31.2" x14ac:dyDescent="0.25">
      <c r="A40" s="4">
        <v>14</v>
      </c>
      <c r="B40" s="7" t="s">
        <v>59</v>
      </c>
      <c r="C40" s="5"/>
      <c r="D40" s="5"/>
      <c r="E40" s="5"/>
      <c r="F40" s="34"/>
      <c r="G40" s="5"/>
      <c r="H40" s="5"/>
      <c r="I40" s="5"/>
      <c r="J40" s="5"/>
      <c r="K40" s="5"/>
      <c r="L40" s="5"/>
      <c r="M40" s="5">
        <f t="shared" si="1"/>
        <v>0</v>
      </c>
      <c r="N40" s="16">
        <f t="shared" si="2"/>
        <v>0</v>
      </c>
      <c r="P40" s="24"/>
      <c r="R40" s="24"/>
      <c r="S40" s="29">
        <v>58</v>
      </c>
      <c r="T40" s="29">
        <f t="shared" si="0"/>
        <v>14.5</v>
      </c>
      <c r="U40" s="30"/>
      <c r="W40" s="33">
        <v>16.875</v>
      </c>
      <c r="X40" s="49">
        <f>W40-N40</f>
        <v>16.875</v>
      </c>
    </row>
    <row r="41" spans="1:24" ht="19.5" customHeight="1" x14ac:dyDescent="0.25">
      <c r="A41" s="4">
        <v>15</v>
      </c>
      <c r="B41" s="7" t="s">
        <v>65</v>
      </c>
      <c r="C41" s="5">
        <v>240</v>
      </c>
      <c r="D41" s="5">
        <v>115.1</v>
      </c>
      <c r="E41" s="5"/>
      <c r="F41" s="34"/>
      <c r="G41" s="5">
        <v>51.7</v>
      </c>
      <c r="H41" s="5">
        <v>300</v>
      </c>
      <c r="I41" s="5">
        <v>27</v>
      </c>
      <c r="J41" s="5"/>
      <c r="K41" s="5">
        <v>116</v>
      </c>
      <c r="L41" s="5">
        <v>51.7</v>
      </c>
      <c r="M41" s="5">
        <f t="shared" si="1"/>
        <v>901.5</v>
      </c>
      <c r="N41" s="16">
        <f t="shared" si="2"/>
        <v>90.15</v>
      </c>
      <c r="P41" s="24">
        <v>57.5</v>
      </c>
      <c r="R41" s="24">
        <v>5.52</v>
      </c>
      <c r="S41" s="29">
        <v>300</v>
      </c>
      <c r="T41" s="29">
        <f t="shared" si="0"/>
        <v>75</v>
      </c>
      <c r="U41" s="30"/>
      <c r="W41" s="32"/>
    </row>
    <row r="42" spans="1:24" ht="19.5" customHeight="1" x14ac:dyDescent="0.25">
      <c r="A42" s="4">
        <v>16</v>
      </c>
      <c r="B42" s="7" t="s">
        <v>66</v>
      </c>
      <c r="C42" s="5"/>
      <c r="D42" s="5"/>
      <c r="E42" s="5"/>
      <c r="F42" s="34"/>
      <c r="G42" s="5"/>
      <c r="H42" s="5"/>
      <c r="I42" s="5"/>
      <c r="J42" s="5"/>
      <c r="K42" s="5"/>
      <c r="L42" s="5"/>
      <c r="M42" s="5">
        <f t="shared" ref="M42" si="12">SUM(C42:L42)</f>
        <v>0</v>
      </c>
      <c r="N42" s="16">
        <f t="shared" ref="N42" si="13">M42/10</f>
        <v>0</v>
      </c>
      <c r="P42" s="24"/>
      <c r="R42" s="24"/>
      <c r="S42" s="29">
        <v>150</v>
      </c>
      <c r="T42" s="29">
        <f t="shared" si="0"/>
        <v>37.5</v>
      </c>
      <c r="U42" s="30"/>
      <c r="W42" s="32"/>
    </row>
    <row r="43" spans="1:24" ht="19.5" customHeight="1" x14ac:dyDescent="0.25">
      <c r="A43" s="4">
        <v>17</v>
      </c>
      <c r="B43" s="7" t="s">
        <v>67</v>
      </c>
      <c r="C43" s="5"/>
      <c r="D43" s="5"/>
      <c r="E43" s="5">
        <v>158.1</v>
      </c>
      <c r="F43" s="34"/>
      <c r="G43" s="5"/>
      <c r="H43" s="5"/>
      <c r="I43" s="5"/>
      <c r="J43" s="5"/>
      <c r="K43" s="5"/>
      <c r="L43" s="5"/>
      <c r="M43" s="5">
        <f t="shared" si="1"/>
        <v>158.1</v>
      </c>
      <c r="N43" s="16">
        <f t="shared" si="2"/>
        <v>15.809999999999999</v>
      </c>
      <c r="P43" s="24">
        <v>260</v>
      </c>
      <c r="R43" s="24">
        <v>7.6</v>
      </c>
      <c r="S43" s="29">
        <v>50</v>
      </c>
      <c r="T43" s="29">
        <f t="shared" si="0"/>
        <v>12.5</v>
      </c>
      <c r="U43" s="30"/>
      <c r="W43" s="32"/>
    </row>
    <row r="44" spans="1:24" ht="19.5" customHeight="1" x14ac:dyDescent="0.25">
      <c r="A44" s="4">
        <v>18</v>
      </c>
      <c r="B44" s="7" t="s">
        <v>15</v>
      </c>
      <c r="C44" s="5">
        <v>21</v>
      </c>
      <c r="D44" s="5"/>
      <c r="E44" s="5"/>
      <c r="F44" s="34"/>
      <c r="G44" s="5"/>
      <c r="H44" s="5">
        <v>21</v>
      </c>
      <c r="I44" s="5"/>
      <c r="J44" s="5"/>
      <c r="K44" s="5"/>
      <c r="L44" s="5">
        <v>21</v>
      </c>
      <c r="M44" s="5">
        <f>SUM(C44:L44)</f>
        <v>63</v>
      </c>
      <c r="N44" s="16">
        <f>M44/10</f>
        <v>6.3</v>
      </c>
      <c r="P44" s="24">
        <v>590</v>
      </c>
      <c r="R44" s="24">
        <v>3.72</v>
      </c>
      <c r="S44" s="29">
        <v>10</v>
      </c>
      <c r="T44" s="29">
        <f t="shared" si="0"/>
        <v>2.5</v>
      </c>
      <c r="U44" s="30"/>
      <c r="W44" s="32"/>
    </row>
    <row r="45" spans="1:24" ht="19.5" customHeight="1" x14ac:dyDescent="0.25">
      <c r="A45" s="4">
        <v>19</v>
      </c>
      <c r="B45" s="7" t="s">
        <v>4</v>
      </c>
      <c r="C45" s="5"/>
      <c r="D45" s="5"/>
      <c r="E45" s="5">
        <v>5.9</v>
      </c>
      <c r="F45" s="34"/>
      <c r="G45" s="5"/>
      <c r="H45" s="5"/>
      <c r="I45" s="5"/>
      <c r="J45" s="5"/>
      <c r="K45" s="5"/>
      <c r="L45" s="5"/>
      <c r="M45" s="5">
        <f t="shared" si="1"/>
        <v>5.9</v>
      </c>
      <c r="N45" s="16">
        <f t="shared" si="2"/>
        <v>0.59000000000000008</v>
      </c>
      <c r="P45" s="24">
        <v>174</v>
      </c>
      <c r="R45" s="24">
        <v>0.14000000000000001</v>
      </c>
      <c r="S45" s="29">
        <v>10</v>
      </c>
      <c r="T45" s="29">
        <f t="shared" si="0"/>
        <v>2.5</v>
      </c>
      <c r="U45" s="30"/>
      <c r="W45" s="32"/>
    </row>
    <row r="46" spans="1:24" ht="19.5" customHeight="1" x14ac:dyDescent="0.25">
      <c r="A46" s="4">
        <v>20</v>
      </c>
      <c r="B46" s="7" t="s">
        <v>14</v>
      </c>
      <c r="C46" s="5">
        <v>5</v>
      </c>
      <c r="D46" s="5">
        <v>4.7</v>
      </c>
      <c r="E46" s="5">
        <v>5.9</v>
      </c>
      <c r="F46" s="34"/>
      <c r="G46" s="5">
        <v>24.1</v>
      </c>
      <c r="H46" s="5">
        <v>5</v>
      </c>
      <c r="I46" s="5">
        <v>9</v>
      </c>
      <c r="J46" s="5"/>
      <c r="K46" s="5">
        <v>4.2</v>
      </c>
      <c r="L46" s="5">
        <v>24.1</v>
      </c>
      <c r="M46" s="5">
        <f t="shared" si="1"/>
        <v>82</v>
      </c>
      <c r="N46" s="26">
        <f t="shared" si="2"/>
        <v>8.1999999999999993</v>
      </c>
      <c r="P46" s="24">
        <v>610</v>
      </c>
      <c r="R46" s="24">
        <v>5.31</v>
      </c>
      <c r="S46" s="29">
        <v>30</v>
      </c>
      <c r="T46" s="29">
        <f t="shared" si="0"/>
        <v>7.5</v>
      </c>
      <c r="U46" s="30"/>
      <c r="W46" s="32"/>
    </row>
    <row r="47" spans="1:24" ht="19.5" customHeight="1" x14ac:dyDescent="0.25">
      <c r="A47" s="4">
        <v>21</v>
      </c>
      <c r="B47" s="7" t="s">
        <v>5</v>
      </c>
      <c r="C47" s="5"/>
      <c r="D47" s="5"/>
      <c r="E47" s="5"/>
      <c r="F47" s="34">
        <v>12</v>
      </c>
      <c r="G47" s="5"/>
      <c r="H47" s="5"/>
      <c r="I47" s="5">
        <v>4</v>
      </c>
      <c r="J47" s="5"/>
      <c r="K47" s="5">
        <v>8</v>
      </c>
      <c r="L47" s="5"/>
      <c r="M47" s="5">
        <f t="shared" si="1"/>
        <v>24</v>
      </c>
      <c r="N47" s="16">
        <f t="shared" si="2"/>
        <v>2.4</v>
      </c>
      <c r="P47" s="24">
        <v>126</v>
      </c>
      <c r="R47" s="24">
        <v>0.19</v>
      </c>
      <c r="S47" s="29">
        <v>15</v>
      </c>
      <c r="T47" s="29">
        <f t="shared" si="0"/>
        <v>3.75</v>
      </c>
      <c r="U47" s="30"/>
      <c r="W47" s="32"/>
    </row>
    <row r="48" spans="1:24" ht="19.5" customHeight="1" x14ac:dyDescent="0.25">
      <c r="A48" s="4">
        <v>22</v>
      </c>
      <c r="B48" s="7" t="s">
        <v>60</v>
      </c>
      <c r="C48" s="5"/>
      <c r="D48" s="5"/>
      <c r="E48" s="5">
        <v>0.1</v>
      </c>
      <c r="F48" s="34"/>
      <c r="G48" s="5">
        <v>2.2999999999999998</v>
      </c>
      <c r="H48" s="5"/>
      <c r="I48" s="5"/>
      <c r="J48" s="5"/>
      <c r="K48" s="5"/>
      <c r="L48" s="5">
        <v>2.2999999999999998</v>
      </c>
      <c r="M48" s="5">
        <f t="shared" si="1"/>
        <v>4.6999999999999993</v>
      </c>
      <c r="N48" s="16">
        <f t="shared" si="2"/>
        <v>0.46999999999999992</v>
      </c>
      <c r="P48" s="24">
        <v>7.5</v>
      </c>
      <c r="R48" s="24">
        <v>3.75</v>
      </c>
      <c r="S48" s="29">
        <v>1</v>
      </c>
      <c r="T48" s="29">
        <f t="shared" si="0"/>
        <v>0.25</v>
      </c>
      <c r="U48" s="30"/>
      <c r="W48" s="32"/>
    </row>
    <row r="49" spans="1:23" ht="19.5" customHeight="1" x14ac:dyDescent="0.25">
      <c r="A49" s="4">
        <v>23</v>
      </c>
      <c r="B49" s="7" t="s">
        <v>68</v>
      </c>
      <c r="C49" s="5">
        <v>24</v>
      </c>
      <c r="D49" s="5">
        <v>15</v>
      </c>
      <c r="E49" s="5">
        <v>26.6</v>
      </c>
      <c r="F49" s="34"/>
      <c r="G49" s="5">
        <v>15</v>
      </c>
      <c r="H49" s="5">
        <v>21</v>
      </c>
      <c r="I49" s="5">
        <v>17</v>
      </c>
      <c r="J49" s="5"/>
      <c r="K49" s="5">
        <v>15.2</v>
      </c>
      <c r="L49" s="5">
        <v>15</v>
      </c>
      <c r="M49" s="5">
        <f t="shared" si="1"/>
        <v>148.79999999999998</v>
      </c>
      <c r="N49" s="16">
        <f t="shared" si="2"/>
        <v>14.879999999999999</v>
      </c>
      <c r="P49" s="24">
        <v>73</v>
      </c>
      <c r="R49" s="24">
        <v>1.22</v>
      </c>
      <c r="S49" s="29">
        <v>30</v>
      </c>
      <c r="T49" s="29">
        <f t="shared" si="0"/>
        <v>7.5</v>
      </c>
      <c r="U49" s="30"/>
      <c r="W49" s="32"/>
    </row>
    <row r="50" spans="1:23" ht="19.5" customHeight="1" x14ac:dyDescent="0.25">
      <c r="A50" s="4">
        <v>24</v>
      </c>
      <c r="B50" s="7" t="s">
        <v>7</v>
      </c>
      <c r="C50" s="5"/>
      <c r="D50" s="5"/>
      <c r="E50" s="5"/>
      <c r="F50" s="34"/>
      <c r="G50" s="5"/>
      <c r="H50" s="5"/>
      <c r="I50" s="5"/>
      <c r="J50" s="5"/>
      <c r="K50" s="5"/>
      <c r="L50" s="5"/>
      <c r="M50" s="5">
        <f t="shared" si="1"/>
        <v>0</v>
      </c>
      <c r="N50" s="16">
        <f t="shared" si="2"/>
        <v>0</v>
      </c>
      <c r="P50" s="24"/>
      <c r="R50" s="24"/>
      <c r="S50" s="29">
        <v>10</v>
      </c>
      <c r="T50" s="29">
        <f t="shared" si="0"/>
        <v>2.5</v>
      </c>
      <c r="U50" s="30"/>
      <c r="W50" s="32"/>
    </row>
    <row r="51" spans="1:23" ht="19.5" customHeight="1" x14ac:dyDescent="0.25">
      <c r="A51" s="4">
        <v>25</v>
      </c>
      <c r="B51" s="7" t="s">
        <v>8</v>
      </c>
      <c r="C51" s="5"/>
      <c r="D51" s="5"/>
      <c r="E51" s="5">
        <v>0.6</v>
      </c>
      <c r="F51" s="34">
        <v>0.6</v>
      </c>
      <c r="G51" s="5">
        <v>0.6</v>
      </c>
      <c r="H51" s="5"/>
      <c r="I51" s="5">
        <v>0.6</v>
      </c>
      <c r="J51" s="5"/>
      <c r="K51" s="5"/>
      <c r="L51" s="5">
        <v>0.6</v>
      </c>
      <c r="M51" s="5">
        <f t="shared" si="1"/>
        <v>3</v>
      </c>
      <c r="N51" s="16">
        <f t="shared" si="2"/>
        <v>0.3</v>
      </c>
      <c r="P51" s="24">
        <v>310</v>
      </c>
      <c r="R51" s="24">
        <v>0.11</v>
      </c>
      <c r="S51" s="29">
        <v>1</v>
      </c>
      <c r="T51" s="29">
        <f t="shared" si="0"/>
        <v>0.25</v>
      </c>
      <c r="U51" s="30"/>
      <c r="W51" s="32"/>
    </row>
    <row r="52" spans="1:23" ht="19.5" customHeight="1" x14ac:dyDescent="0.25">
      <c r="A52" s="4">
        <v>26</v>
      </c>
      <c r="B52" s="7" t="s">
        <v>16</v>
      </c>
      <c r="C52" s="5">
        <v>4</v>
      </c>
      <c r="D52" s="5"/>
      <c r="E52" s="5"/>
      <c r="F52" s="34"/>
      <c r="G52" s="5"/>
      <c r="H52" s="5"/>
      <c r="I52" s="5"/>
      <c r="J52" s="5"/>
      <c r="K52" s="5"/>
      <c r="L52" s="5"/>
      <c r="M52" s="5">
        <f>SUM(C52:L52)</f>
        <v>4</v>
      </c>
      <c r="N52" s="16">
        <f>M52/10</f>
        <v>0.4</v>
      </c>
      <c r="P52" s="24">
        <v>210</v>
      </c>
      <c r="R52" s="24">
        <v>8.4000000000000005E-2</v>
      </c>
      <c r="S52" s="29">
        <v>1</v>
      </c>
      <c r="T52" s="29">
        <f t="shared" si="0"/>
        <v>0.25</v>
      </c>
      <c r="U52" s="30"/>
      <c r="W52" s="32"/>
    </row>
    <row r="53" spans="1:23" ht="19.5" customHeight="1" x14ac:dyDescent="0.25">
      <c r="A53" s="4">
        <v>27</v>
      </c>
      <c r="B53" s="7" t="s">
        <v>17</v>
      </c>
      <c r="C53" s="5"/>
      <c r="D53" s="5">
        <v>4</v>
      </c>
      <c r="E53" s="5"/>
      <c r="F53" s="34"/>
      <c r="G53" s="5"/>
      <c r="H53" s="5">
        <v>4</v>
      </c>
      <c r="I53" s="5"/>
      <c r="J53" s="5"/>
      <c r="K53" s="5">
        <v>4</v>
      </c>
      <c r="L53" s="5"/>
      <c r="M53" s="5">
        <f>SUM(C53:L53)</f>
        <v>12</v>
      </c>
      <c r="N53" s="16">
        <f>M53/10</f>
        <v>1.2</v>
      </c>
      <c r="P53" s="24">
        <v>310</v>
      </c>
      <c r="R53" s="24">
        <v>0.372</v>
      </c>
      <c r="S53" s="29">
        <v>2</v>
      </c>
      <c r="T53" s="29">
        <f t="shared" si="0"/>
        <v>0.5</v>
      </c>
      <c r="U53" s="30"/>
      <c r="W53" s="32"/>
    </row>
    <row r="54" spans="1:23" ht="19.5" customHeight="1" x14ac:dyDescent="0.25">
      <c r="A54" s="4">
        <v>28</v>
      </c>
      <c r="B54" s="7" t="s">
        <v>61</v>
      </c>
      <c r="C54" s="5"/>
      <c r="D54" s="5"/>
      <c r="E54" s="5"/>
      <c r="F54" s="34"/>
      <c r="G54" s="5"/>
      <c r="H54" s="5"/>
      <c r="I54" s="5"/>
      <c r="J54" s="5"/>
      <c r="K54" s="5"/>
      <c r="L54" s="5"/>
      <c r="M54" s="5">
        <f t="shared" ref="M54:M55" si="14">SUM(C54:L54)</f>
        <v>0</v>
      </c>
      <c r="N54" s="16">
        <f t="shared" ref="N54:N55" si="15">M54/10</f>
        <v>0</v>
      </c>
      <c r="P54" s="24"/>
      <c r="R54" s="24"/>
      <c r="S54" s="29">
        <v>0.2</v>
      </c>
      <c r="T54" s="29">
        <f t="shared" si="0"/>
        <v>0.05</v>
      </c>
      <c r="U54" s="30"/>
      <c r="W54" s="32"/>
    </row>
    <row r="55" spans="1:23" ht="19.5" customHeight="1" x14ac:dyDescent="0.25">
      <c r="A55" s="4">
        <v>29</v>
      </c>
      <c r="B55" s="7" t="s">
        <v>62</v>
      </c>
      <c r="C55" s="5"/>
      <c r="D55" s="5"/>
      <c r="E55" s="5"/>
      <c r="F55" s="34"/>
      <c r="G55" s="5"/>
      <c r="H55" s="5"/>
      <c r="I55" s="5"/>
      <c r="J55" s="5"/>
      <c r="K55" s="5"/>
      <c r="L55" s="5"/>
      <c r="M55" s="5">
        <f t="shared" si="14"/>
        <v>0</v>
      </c>
      <c r="N55" s="16">
        <f t="shared" si="15"/>
        <v>0</v>
      </c>
      <c r="P55" s="24"/>
      <c r="R55" s="24"/>
      <c r="S55" s="29">
        <v>3</v>
      </c>
      <c r="T55" s="29">
        <f t="shared" si="0"/>
        <v>0.75</v>
      </c>
      <c r="U55" s="30"/>
      <c r="W55" s="32"/>
    </row>
    <row r="56" spans="1:23" ht="19.5" customHeight="1" x14ac:dyDescent="0.25">
      <c r="A56" s="4">
        <v>30</v>
      </c>
      <c r="B56" s="7" t="s">
        <v>69</v>
      </c>
      <c r="C56" s="5">
        <v>0.3</v>
      </c>
      <c r="D56" s="5">
        <v>1.1000000000000001</v>
      </c>
      <c r="E56" s="5">
        <v>0.5</v>
      </c>
      <c r="F56" s="34">
        <v>0.6</v>
      </c>
      <c r="G56" s="5"/>
      <c r="H56" s="5">
        <v>0.5</v>
      </c>
      <c r="I56" s="5">
        <v>0.3</v>
      </c>
      <c r="J56" s="5"/>
      <c r="K56" s="5">
        <v>0.8</v>
      </c>
      <c r="L56" s="5"/>
      <c r="M56" s="5">
        <f>SUM(C56:L56)</f>
        <v>4.0999999999999996</v>
      </c>
      <c r="N56" s="16">
        <f>M56/10</f>
        <v>0.41</v>
      </c>
      <c r="P56" s="24">
        <v>17</v>
      </c>
      <c r="R56" s="24">
        <v>7.0000000000000001E-3</v>
      </c>
      <c r="S56" s="29">
        <v>3</v>
      </c>
      <c r="T56" s="29">
        <f t="shared" si="0"/>
        <v>0.75</v>
      </c>
      <c r="U56" s="30"/>
      <c r="W56" s="32"/>
    </row>
    <row r="57" spans="1:23" ht="19.5" customHeight="1" x14ac:dyDescent="0.25">
      <c r="A57" s="4">
        <v>31</v>
      </c>
      <c r="B57" s="7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1"/>
        <v>0</v>
      </c>
      <c r="N57" s="16">
        <f t="shared" si="2"/>
        <v>0</v>
      </c>
      <c r="P57" s="24"/>
      <c r="R57" s="24"/>
      <c r="S57" s="29">
        <v>2</v>
      </c>
      <c r="T57" s="29">
        <f t="shared" si="0"/>
        <v>0.5</v>
      </c>
      <c r="U57" s="30"/>
      <c r="W57" s="32"/>
    </row>
    <row r="58" spans="1:23" ht="22.5" customHeight="1" x14ac:dyDescent="0.25">
      <c r="B58" s="10" t="s">
        <v>32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7">
        <f>SUM(N6:N57)</f>
        <v>392.59999999999997</v>
      </c>
      <c r="P58" s="24"/>
      <c r="R58" s="25">
        <f>SUM(R26:R56)</f>
        <v>51.617999999999995</v>
      </c>
      <c r="S58" s="29"/>
      <c r="T58" s="29"/>
      <c r="U58" s="30"/>
      <c r="W58" s="32"/>
    </row>
    <row r="60" spans="1:23" ht="37.5" customHeight="1" x14ac:dyDescent="0.25">
      <c r="B60" s="7" t="s">
        <v>74</v>
      </c>
      <c r="C60" s="19">
        <v>11642400</v>
      </c>
    </row>
    <row r="61" spans="1:23" ht="37.5" customHeight="1" x14ac:dyDescent="0.25">
      <c r="B61" s="7" t="s">
        <v>82</v>
      </c>
      <c r="C61" s="19">
        <v>3676500</v>
      </c>
    </row>
    <row r="62" spans="1:23" ht="33.75" customHeight="1" x14ac:dyDescent="0.25">
      <c r="B62" s="7" t="s">
        <v>73</v>
      </c>
      <c r="C62" s="19">
        <v>60.84</v>
      </c>
    </row>
    <row r="63" spans="1:23" ht="15.6" x14ac:dyDescent="0.25">
      <c r="B63" s="18" t="s">
        <v>71</v>
      </c>
      <c r="C63" s="19">
        <v>60.84</v>
      </c>
    </row>
    <row r="64" spans="1:23" ht="15.6" x14ac:dyDescent="0.25">
      <c r="B64" s="18" t="s">
        <v>72</v>
      </c>
      <c r="C64" s="19">
        <v>0</v>
      </c>
    </row>
    <row r="66" spans="2:13" ht="19.5" customHeight="1" x14ac:dyDescent="0.25">
      <c r="B66" s="22" t="s">
        <v>79</v>
      </c>
      <c r="C66" s="20"/>
      <c r="D66" s="20"/>
      <c r="E66" s="20"/>
      <c r="F66" s="20"/>
      <c r="G66" s="20"/>
    </row>
    <row r="67" spans="2:13" ht="17.399999999999999" x14ac:dyDescent="0.25">
      <c r="B67" s="21" t="s">
        <v>75</v>
      </c>
    </row>
    <row r="68" spans="2:13" ht="17.399999999999999" x14ac:dyDescent="0.25">
      <c r="B68" s="21" t="s">
        <v>76</v>
      </c>
    </row>
    <row r="69" spans="2:13" ht="17.399999999999999" x14ac:dyDescent="0.3">
      <c r="B69" s="21" t="s">
        <v>77</v>
      </c>
      <c r="M69" s="23" t="s">
        <v>78</v>
      </c>
    </row>
  </sheetData>
  <mergeCells count="8">
    <mergeCell ref="P3:P4"/>
    <mergeCell ref="R3:R4"/>
    <mergeCell ref="B2:N2"/>
    <mergeCell ref="B5:M5"/>
    <mergeCell ref="N3:N4"/>
    <mergeCell ref="B3:B4"/>
    <mergeCell ref="C3:L3"/>
    <mergeCell ref="M3:M4"/>
  </mergeCells>
  <phoneticPr fontId="8" type="noConversion"/>
  <pageMargins left="0" right="0" top="0" bottom="0" header="0.31496062992125984" footer="0.31496062992125984"/>
  <pageSetup paperSize="9" scale="55" fitToHeight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5"/>
  <sheetViews>
    <sheetView zoomScale="70" zoomScaleNormal="70" workbookViewId="0">
      <selection activeCell="E1" sqref="E1"/>
    </sheetView>
  </sheetViews>
  <sheetFormatPr defaultColWidth="9.109375" defaultRowHeight="15.6" x14ac:dyDescent="0.3"/>
  <cols>
    <col min="1" max="1" width="9.6640625" style="51" customWidth="1"/>
    <col min="2" max="2" width="12.6640625" style="51" customWidth="1"/>
    <col min="3" max="3" width="24.44140625" style="51" customWidth="1"/>
    <col min="4" max="4" width="10.6640625" style="53" customWidth="1"/>
    <col min="5" max="5" width="27.88671875" style="53" customWidth="1"/>
    <col min="6" max="6" width="7.88671875" style="53" customWidth="1"/>
    <col min="7" max="7" width="6.88671875" style="53" customWidth="1"/>
    <col min="8" max="8" width="5.6640625" style="53" customWidth="1"/>
    <col min="9" max="9" width="4.6640625" style="53" customWidth="1"/>
    <col min="10" max="11" width="9.109375" style="3" customWidth="1"/>
    <col min="12" max="16384" width="9.109375" style="53"/>
  </cols>
  <sheetData>
    <row r="1" spans="1:11" x14ac:dyDescent="0.3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6.8" x14ac:dyDescent="0.3">
      <c r="A2" s="54" t="s">
        <v>90</v>
      </c>
      <c r="B2" s="55">
        <f>(B4+B29+B73+B105+B133+B186+B208+B250+B277+B320)/10</f>
        <v>55.778113465789467</v>
      </c>
      <c r="C2" s="56"/>
      <c r="D2" s="57" t="s">
        <v>91</v>
      </c>
      <c r="J2" s="58" t="s">
        <v>92</v>
      </c>
      <c r="K2" s="58" t="s">
        <v>93</v>
      </c>
    </row>
    <row r="3" spans="1:11" x14ac:dyDescent="0.3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 x14ac:dyDescent="0.3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 x14ac:dyDescent="0.3">
      <c r="B5" s="51">
        <f>D3+D4+D5+D17+D26</f>
        <v>560</v>
      </c>
      <c r="C5" s="51" t="s">
        <v>97</v>
      </c>
      <c r="D5" s="53">
        <v>200</v>
      </c>
      <c r="E5" s="328" t="s">
        <v>98</v>
      </c>
      <c r="F5" s="214" t="s">
        <v>99</v>
      </c>
      <c r="G5" s="215"/>
      <c r="H5" s="215"/>
      <c r="I5" s="215"/>
      <c r="K5" s="59">
        <f>SUM(K8:K13)</f>
        <v>12.429930000000001</v>
      </c>
    </row>
    <row r="6" spans="1:11" x14ac:dyDescent="0.3">
      <c r="E6" s="329"/>
      <c r="F6" s="216">
        <v>1</v>
      </c>
      <c r="G6" s="217"/>
      <c r="H6" s="217"/>
      <c r="I6" s="218"/>
    </row>
    <row r="7" spans="1:11" x14ac:dyDescent="0.3">
      <c r="E7" s="330"/>
      <c r="F7" s="136" t="s">
        <v>100</v>
      </c>
      <c r="G7" s="137"/>
      <c r="H7" s="136" t="s">
        <v>101</v>
      </c>
      <c r="I7" s="137"/>
    </row>
    <row r="8" spans="1:11" x14ac:dyDescent="0.3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 x14ac:dyDescent="0.3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 x14ac:dyDescent="0.3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 x14ac:dyDescent="0.3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 x14ac:dyDescent="0.3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 x14ac:dyDescent="0.3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 x14ac:dyDescent="0.3">
      <c r="E14" s="64"/>
      <c r="F14" s="67"/>
      <c r="G14" s="68"/>
      <c r="H14" s="67"/>
      <c r="I14" s="68"/>
    </row>
    <row r="15" spans="1:11" x14ac:dyDescent="0.3">
      <c r="A15" s="69"/>
      <c r="E15" s="70" t="s">
        <v>108</v>
      </c>
      <c r="F15" s="117" t="s">
        <v>109</v>
      </c>
      <c r="G15" s="118"/>
      <c r="H15" s="219">
        <v>200</v>
      </c>
      <c r="I15" s="220"/>
    </row>
    <row r="17" spans="1:26" x14ac:dyDescent="0.3">
      <c r="C17" s="51" t="s">
        <v>110</v>
      </c>
      <c r="D17" s="53">
        <v>200</v>
      </c>
      <c r="E17" s="323" t="s">
        <v>98</v>
      </c>
      <c r="F17" s="221" t="s">
        <v>99</v>
      </c>
      <c r="G17" s="222"/>
      <c r="H17" s="222"/>
      <c r="I17" s="222"/>
      <c r="K17" s="71">
        <f>K20+K21+K22+K23</f>
        <v>7.3504000000000005</v>
      </c>
    </row>
    <row r="18" spans="1:26" x14ac:dyDescent="0.3">
      <c r="E18" s="324"/>
      <c r="F18" s="326">
        <v>1</v>
      </c>
      <c r="G18" s="326"/>
      <c r="H18" s="326"/>
      <c r="I18" s="326"/>
    </row>
    <row r="19" spans="1:26" x14ac:dyDescent="0.3">
      <c r="E19" s="325"/>
      <c r="F19" s="327" t="s">
        <v>100</v>
      </c>
      <c r="G19" s="327"/>
      <c r="H19" s="327" t="s">
        <v>101</v>
      </c>
      <c r="I19" s="327"/>
    </row>
    <row r="20" spans="1:26" x14ac:dyDescent="0.3">
      <c r="E20" s="72" t="s">
        <v>16</v>
      </c>
      <c r="F20" s="73">
        <v>4</v>
      </c>
      <c r="G20" s="74"/>
      <c r="H20" s="333">
        <f>F20</f>
        <v>4</v>
      </c>
      <c r="I20" s="333"/>
      <c r="J20" s="3">
        <v>272</v>
      </c>
      <c r="K20" s="3">
        <f>F20*J20/1000</f>
        <v>1.0880000000000001</v>
      </c>
    </row>
    <row r="21" spans="1:26" x14ac:dyDescent="0.3">
      <c r="E21" s="75" t="s">
        <v>103</v>
      </c>
      <c r="F21" s="76">
        <v>100</v>
      </c>
      <c r="G21" s="77"/>
      <c r="H21" s="333">
        <f>F21</f>
        <v>100</v>
      </c>
      <c r="I21" s="333"/>
      <c r="J21" s="3">
        <v>48.17</v>
      </c>
      <c r="K21" s="3">
        <f>F21*J21/1000</f>
        <v>4.8170000000000002</v>
      </c>
    </row>
    <row r="22" spans="1:26" x14ac:dyDescent="0.3">
      <c r="E22" s="75" t="s">
        <v>104</v>
      </c>
      <c r="F22" s="76">
        <v>110</v>
      </c>
      <c r="G22" s="77"/>
      <c r="H22" s="333">
        <f>F22</f>
        <v>110</v>
      </c>
      <c r="I22" s="333"/>
      <c r="K22" s="3">
        <f>F22*J22/1000</f>
        <v>0</v>
      </c>
    </row>
    <row r="23" spans="1:26" x14ac:dyDescent="0.3">
      <c r="E23" s="75" t="s">
        <v>111</v>
      </c>
      <c r="F23" s="78">
        <v>20</v>
      </c>
      <c r="G23" s="79"/>
      <c r="H23" s="333">
        <f>F23</f>
        <v>20</v>
      </c>
      <c r="I23" s="333"/>
      <c r="J23" s="3">
        <v>72.27</v>
      </c>
      <c r="K23" s="3">
        <f>F23*J23/1000</f>
        <v>1.4453999999999998</v>
      </c>
    </row>
    <row r="24" spans="1:26" x14ac:dyDescent="0.3">
      <c r="E24" s="80" t="s">
        <v>108</v>
      </c>
      <c r="F24" s="331" t="s">
        <v>109</v>
      </c>
      <c r="G24" s="331"/>
      <c r="H24" s="332">
        <v>200</v>
      </c>
      <c r="I24" s="332"/>
    </row>
    <row r="26" spans="1:26" x14ac:dyDescent="0.3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2" thickBot="1" x14ac:dyDescent="0.35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x14ac:dyDescent="0.3">
      <c r="A28" s="51" t="s">
        <v>20</v>
      </c>
      <c r="B28" s="51" t="s">
        <v>71</v>
      </c>
      <c r="C28" s="168"/>
      <c r="D28" s="168"/>
      <c r="E28" s="168"/>
      <c r="F28" s="168"/>
      <c r="G28" s="168"/>
      <c r="H28" s="168"/>
      <c r="I28" s="168"/>
      <c r="J28" s="89"/>
      <c r="K28" s="89"/>
    </row>
    <row r="29" spans="1:26" x14ac:dyDescent="0.3">
      <c r="A29" s="51" t="s">
        <v>113</v>
      </c>
      <c r="B29" s="85">
        <f>K29+K31+K56+K62+K69</f>
        <v>58.925489999999989</v>
      </c>
      <c r="C29" s="123" t="s">
        <v>337</v>
      </c>
      <c r="D29" s="124">
        <v>40</v>
      </c>
      <c r="E29" s="124"/>
      <c r="F29" s="124">
        <v>42</v>
      </c>
      <c r="G29" s="124"/>
      <c r="H29" s="124"/>
      <c r="I29" s="124"/>
      <c r="J29" s="111">
        <v>100</v>
      </c>
      <c r="K29" s="239">
        <f>J29*F29/1000</f>
        <v>4.2</v>
      </c>
      <c r="L29" s="231"/>
    </row>
    <row r="30" spans="1:26" x14ac:dyDescent="0.3">
      <c r="B30" s="51">
        <f>D28+D31+D56+D62+D69</f>
        <v>480</v>
      </c>
      <c r="K30" s="89"/>
      <c r="L30" s="231"/>
    </row>
    <row r="31" spans="1:26" x14ac:dyDescent="0.3">
      <c r="B31" s="52"/>
      <c r="C31" s="90" t="s">
        <v>114</v>
      </c>
      <c r="D31" s="53">
        <v>90</v>
      </c>
      <c r="F31" s="223">
        <v>1</v>
      </c>
      <c r="G31" s="223"/>
      <c r="H31" s="223"/>
      <c r="I31" s="223"/>
      <c r="K31" s="84">
        <f>SUM(K33:K52)</f>
        <v>39.507389999999994</v>
      </c>
      <c r="L31" s="231"/>
    </row>
    <row r="32" spans="1:26" x14ac:dyDescent="0.3">
      <c r="F32" s="233" t="s">
        <v>100</v>
      </c>
      <c r="G32" s="224"/>
      <c r="H32" s="233" t="s">
        <v>101</v>
      </c>
      <c r="I32" s="224"/>
      <c r="L32" s="231"/>
    </row>
    <row r="33" spans="1:11" x14ac:dyDescent="0.3">
      <c r="A33" s="53"/>
      <c r="B33" s="53"/>
      <c r="E33" s="91" t="s">
        <v>115</v>
      </c>
      <c r="F33" s="91">
        <v>63.36</v>
      </c>
      <c r="G33" s="92"/>
      <c r="H33" s="110">
        <v>46.62</v>
      </c>
      <c r="I33" s="110"/>
      <c r="J33" s="3">
        <v>548</v>
      </c>
      <c r="K33" s="3">
        <f>F33*J33/1000</f>
        <v>34.72128</v>
      </c>
    </row>
    <row r="34" spans="1:11" x14ac:dyDescent="0.3">
      <c r="A34" s="53"/>
      <c r="B34" s="53"/>
      <c r="E34" s="91" t="s">
        <v>103</v>
      </c>
      <c r="F34" s="91">
        <v>15.12</v>
      </c>
      <c r="G34" s="92"/>
      <c r="H34" s="110">
        <v>15.12</v>
      </c>
      <c r="I34" s="110"/>
      <c r="J34" s="3">
        <v>57.5</v>
      </c>
      <c r="K34" s="3">
        <f>F34*J34/1000</f>
        <v>0.86939999999999995</v>
      </c>
    </row>
    <row r="35" spans="1:11" x14ac:dyDescent="0.3">
      <c r="A35" s="53"/>
      <c r="B35" s="53"/>
      <c r="E35" s="91" t="s">
        <v>116</v>
      </c>
      <c r="F35" s="91">
        <v>15.12</v>
      </c>
      <c r="G35" s="92"/>
      <c r="H35" s="110">
        <v>15.12</v>
      </c>
      <c r="I35" s="110"/>
    </row>
    <row r="36" spans="1:11" x14ac:dyDescent="0.3">
      <c r="A36" s="53"/>
      <c r="B36" s="53"/>
      <c r="E36" s="91" t="s">
        <v>117</v>
      </c>
      <c r="F36" s="91">
        <v>11.34</v>
      </c>
      <c r="G36" s="92"/>
      <c r="H36" s="110">
        <v>11.34</v>
      </c>
      <c r="I36" s="110"/>
      <c r="J36" s="3">
        <v>50.09</v>
      </c>
      <c r="K36" s="3">
        <f>F36*J36/1000</f>
        <v>0.5680206000000001</v>
      </c>
    </row>
    <row r="37" spans="1:11" x14ac:dyDescent="0.3">
      <c r="A37" s="53"/>
      <c r="B37" s="53"/>
      <c r="E37" s="91" t="s">
        <v>118</v>
      </c>
      <c r="F37" s="91">
        <v>6.3</v>
      </c>
      <c r="G37" s="92"/>
      <c r="H37" s="110">
        <v>6.3</v>
      </c>
      <c r="I37" s="110"/>
      <c r="J37" s="3">
        <v>200</v>
      </c>
      <c r="K37" s="3">
        <f>F37*J37/1000</f>
        <v>1.26</v>
      </c>
    </row>
    <row r="38" spans="1:11" x14ac:dyDescent="0.3">
      <c r="A38" s="53"/>
      <c r="B38" s="53"/>
      <c r="E38" s="91" t="s">
        <v>119</v>
      </c>
      <c r="F38" s="91" t="s">
        <v>109</v>
      </c>
      <c r="G38" s="92"/>
      <c r="H38" s="110">
        <v>78.12</v>
      </c>
      <c r="I38" s="110"/>
    </row>
    <row r="39" spans="1:11" x14ac:dyDescent="0.3">
      <c r="A39" s="53"/>
      <c r="B39" s="53"/>
      <c r="E39" s="91" t="s">
        <v>5</v>
      </c>
      <c r="F39" s="93">
        <v>3.78</v>
      </c>
      <c r="G39" s="94"/>
      <c r="H39" s="110">
        <v>3.78</v>
      </c>
      <c r="I39" s="110"/>
      <c r="J39" s="3">
        <v>152</v>
      </c>
      <c r="K39" s="3">
        <f>F39*J39/1000</f>
        <v>0.57455999999999996</v>
      </c>
    </row>
    <row r="40" spans="1:11" ht="26.4" x14ac:dyDescent="0.3">
      <c r="A40" s="53"/>
      <c r="B40" s="53"/>
      <c r="E40" s="91" t="s">
        <v>120</v>
      </c>
      <c r="F40" s="91" t="s">
        <v>109</v>
      </c>
      <c r="G40" s="92"/>
      <c r="H40" s="110" t="s">
        <v>109</v>
      </c>
      <c r="I40" s="110"/>
    </row>
    <row r="41" spans="1:11" x14ac:dyDescent="0.3">
      <c r="A41" s="53"/>
      <c r="B41" s="53"/>
      <c r="E41" s="91" t="s">
        <v>121</v>
      </c>
      <c r="F41" s="91" t="s">
        <v>109</v>
      </c>
      <c r="G41" s="92"/>
      <c r="H41" s="110">
        <v>63</v>
      </c>
      <c r="I41" s="110"/>
    </row>
    <row r="42" spans="1:11" x14ac:dyDescent="0.3">
      <c r="A42" s="53"/>
      <c r="B42" s="53"/>
      <c r="E42" s="91" t="s">
        <v>122</v>
      </c>
      <c r="F42" s="91" t="s">
        <v>109</v>
      </c>
      <c r="G42" s="92"/>
      <c r="H42" s="110">
        <v>27</v>
      </c>
      <c r="I42" s="110"/>
    </row>
    <row r="43" spans="1:11" x14ac:dyDescent="0.3">
      <c r="A43" s="53"/>
      <c r="B43" s="53"/>
      <c r="E43" s="91" t="s">
        <v>123</v>
      </c>
      <c r="F43" s="91">
        <v>24.3</v>
      </c>
      <c r="G43" s="92"/>
      <c r="H43" s="110">
        <v>24.3</v>
      </c>
      <c r="I43" s="110"/>
    </row>
    <row r="44" spans="1:11" x14ac:dyDescent="0.3">
      <c r="A44" s="53"/>
      <c r="B44" s="53"/>
      <c r="E44" s="91" t="s">
        <v>116</v>
      </c>
      <c r="F44" s="91">
        <v>24.3</v>
      </c>
      <c r="G44" s="92"/>
      <c r="H44" s="110">
        <v>24.3</v>
      </c>
      <c r="I44" s="110"/>
    </row>
    <row r="45" spans="1:11" x14ac:dyDescent="0.3">
      <c r="A45" s="53"/>
      <c r="B45" s="53"/>
      <c r="E45" s="91" t="s">
        <v>105</v>
      </c>
      <c r="F45" s="95">
        <v>1.26</v>
      </c>
      <c r="G45" s="96"/>
      <c r="H45" s="110">
        <v>1.26</v>
      </c>
      <c r="I45" s="110"/>
      <c r="J45" s="3">
        <v>497.15</v>
      </c>
      <c r="K45" s="3">
        <f t="shared" ref="K45:K52" si="2">F45*J45/1000</f>
        <v>0.62640899999999999</v>
      </c>
    </row>
    <row r="46" spans="1:11" x14ac:dyDescent="0.3">
      <c r="A46" s="53"/>
      <c r="B46" s="53"/>
      <c r="E46" s="91" t="s">
        <v>34</v>
      </c>
      <c r="F46" s="91">
        <v>1.26</v>
      </c>
      <c r="G46" s="92"/>
      <c r="H46" s="110">
        <v>1.26</v>
      </c>
      <c r="I46" s="110"/>
      <c r="J46" s="3">
        <v>37</v>
      </c>
      <c r="K46" s="3">
        <f t="shared" si="2"/>
        <v>4.6619999999999995E-2</v>
      </c>
    </row>
    <row r="47" spans="1:11" x14ac:dyDescent="0.3">
      <c r="A47" s="53"/>
      <c r="B47" s="53"/>
      <c r="E47" s="91" t="s">
        <v>45</v>
      </c>
      <c r="F47" s="91">
        <v>2.0699999999999998</v>
      </c>
      <c r="G47" s="92"/>
      <c r="H47" s="110">
        <v>1.62</v>
      </c>
      <c r="I47" s="110"/>
      <c r="J47" s="3">
        <v>30</v>
      </c>
      <c r="K47" s="3">
        <f t="shared" si="2"/>
        <v>6.2099999999999995E-2</v>
      </c>
    </row>
    <row r="48" spans="1:11" x14ac:dyDescent="0.3">
      <c r="A48" s="53"/>
      <c r="B48" s="53"/>
      <c r="E48" s="91" t="s">
        <v>44</v>
      </c>
      <c r="F48" s="91">
        <v>0.63</v>
      </c>
      <c r="G48" s="92"/>
      <c r="H48" s="110">
        <v>0.54</v>
      </c>
      <c r="I48" s="110"/>
      <c r="J48" s="3">
        <v>20</v>
      </c>
      <c r="K48" s="3">
        <f t="shared" si="2"/>
        <v>1.26E-2</v>
      </c>
    </row>
    <row r="49" spans="1:11" x14ac:dyDescent="0.3">
      <c r="A49" s="53"/>
      <c r="B49" s="53"/>
      <c r="E49" s="91" t="s">
        <v>105</v>
      </c>
      <c r="F49" s="95">
        <v>0.45</v>
      </c>
      <c r="G49" s="96"/>
      <c r="H49" s="110">
        <v>0.45</v>
      </c>
      <c r="I49" s="110"/>
      <c r="J49" s="3">
        <v>497.15</v>
      </c>
      <c r="K49" s="3">
        <f t="shared" si="2"/>
        <v>0.22371750000000001</v>
      </c>
    </row>
    <row r="50" spans="1:11" x14ac:dyDescent="0.3">
      <c r="A50" s="53"/>
      <c r="B50" s="53"/>
      <c r="E50" s="91" t="s">
        <v>124</v>
      </c>
      <c r="F50" s="91">
        <v>0.09</v>
      </c>
      <c r="G50" s="92"/>
      <c r="H50" s="110">
        <v>0.09</v>
      </c>
      <c r="I50" s="110"/>
      <c r="J50" s="3">
        <v>17</v>
      </c>
      <c r="K50" s="3">
        <f t="shared" si="2"/>
        <v>1.5300000000000001E-3</v>
      </c>
    </row>
    <row r="51" spans="1:11" x14ac:dyDescent="0.3">
      <c r="A51" s="53"/>
      <c r="B51" s="53"/>
      <c r="E51" s="91" t="s">
        <v>125</v>
      </c>
      <c r="F51" s="91">
        <v>0.27</v>
      </c>
      <c r="G51" s="92"/>
      <c r="H51" s="110">
        <v>0.27</v>
      </c>
      <c r="I51" s="110"/>
      <c r="J51" s="3">
        <v>72.27</v>
      </c>
      <c r="K51" s="3">
        <f t="shared" si="2"/>
        <v>1.9512900000000003E-2</v>
      </c>
    </row>
    <row r="52" spans="1:11" x14ac:dyDescent="0.3">
      <c r="A52" s="53"/>
      <c r="B52" s="53"/>
      <c r="E52" s="91" t="s">
        <v>126</v>
      </c>
      <c r="F52" s="91">
        <v>3.78</v>
      </c>
      <c r="G52" s="92"/>
      <c r="H52" s="110">
        <v>3.78</v>
      </c>
      <c r="I52" s="110"/>
      <c r="J52" s="3">
        <v>138</v>
      </c>
      <c r="K52" s="3">
        <f t="shared" si="2"/>
        <v>0.52163999999999999</v>
      </c>
    </row>
    <row r="53" spans="1:11" x14ac:dyDescent="0.3">
      <c r="A53" s="53"/>
      <c r="B53" s="53"/>
      <c r="E53" s="97" t="s">
        <v>127</v>
      </c>
      <c r="F53" s="234">
        <v>90</v>
      </c>
      <c r="G53" s="235"/>
      <c r="H53" s="235"/>
      <c r="I53" s="236"/>
    </row>
    <row r="54" spans="1:11" x14ac:dyDescent="0.3">
      <c r="A54" s="53"/>
      <c r="B54" s="53"/>
      <c r="E54" s="98"/>
      <c r="F54" s="99"/>
      <c r="G54" s="99"/>
      <c r="H54" s="100"/>
      <c r="I54" s="100"/>
    </row>
    <row r="55" spans="1:11" x14ac:dyDescent="0.3">
      <c r="A55" s="53"/>
      <c r="B55" s="53"/>
    </row>
    <row r="56" spans="1:11" x14ac:dyDescent="0.3">
      <c r="A56" s="53"/>
      <c r="B56" s="53"/>
      <c r="C56" s="51" t="s">
        <v>128</v>
      </c>
      <c r="D56" s="53">
        <v>150</v>
      </c>
      <c r="F56" s="203" t="s">
        <v>100</v>
      </c>
      <c r="G56" s="203"/>
      <c r="H56" s="203" t="s">
        <v>101</v>
      </c>
      <c r="I56" s="203"/>
      <c r="K56" s="84">
        <f>K57+K58+K59</f>
        <v>4.70045</v>
      </c>
    </row>
    <row r="57" spans="1:11" x14ac:dyDescent="0.3">
      <c r="A57" s="53"/>
      <c r="B57" s="53"/>
      <c r="E57" s="61" t="s">
        <v>129</v>
      </c>
      <c r="F57" s="62">
        <v>38</v>
      </c>
      <c r="G57" s="63"/>
      <c r="H57" s="204">
        <v>38</v>
      </c>
      <c r="I57" s="204"/>
      <c r="J57" s="3">
        <v>84</v>
      </c>
      <c r="K57" s="3">
        <f>J57*F57/1000</f>
        <v>3.1920000000000002</v>
      </c>
    </row>
    <row r="58" spans="1:11" x14ac:dyDescent="0.3">
      <c r="A58" s="53"/>
      <c r="B58" s="53"/>
      <c r="E58" s="101" t="s">
        <v>105</v>
      </c>
      <c r="F58" s="102">
        <v>3</v>
      </c>
      <c r="G58" s="103"/>
      <c r="H58" s="205">
        <v>3</v>
      </c>
      <c r="I58" s="206"/>
      <c r="J58" s="3">
        <v>497.15</v>
      </c>
      <c r="K58" s="3">
        <f>J58*F58/1000</f>
        <v>1.4914499999999997</v>
      </c>
    </row>
    <row r="59" spans="1:11" x14ac:dyDescent="0.3">
      <c r="A59" s="53"/>
      <c r="B59" s="53"/>
      <c r="E59" s="61" t="s">
        <v>106</v>
      </c>
      <c r="F59" s="67">
        <v>1</v>
      </c>
      <c r="G59" s="68"/>
      <c r="H59" s="204">
        <v>1</v>
      </c>
      <c r="I59" s="204"/>
      <c r="J59" s="3">
        <v>17</v>
      </c>
      <c r="K59" s="3">
        <f>J59*F59/1000</f>
        <v>1.7000000000000001E-2</v>
      </c>
    </row>
    <row r="60" spans="1:11" x14ac:dyDescent="0.3">
      <c r="E60" s="70" t="s">
        <v>108</v>
      </c>
      <c r="F60" s="237" t="s">
        <v>109</v>
      </c>
      <c r="G60" s="237"/>
      <c r="H60" s="238">
        <v>150</v>
      </c>
      <c r="I60" s="238"/>
    </row>
    <row r="61" spans="1:11" x14ac:dyDescent="0.3">
      <c r="A61" s="53"/>
      <c r="B61" s="53"/>
    </row>
    <row r="62" spans="1:11" x14ac:dyDescent="0.3">
      <c r="C62" s="51" t="s">
        <v>130</v>
      </c>
      <c r="D62" s="53">
        <v>200</v>
      </c>
      <c r="F62" s="203" t="s">
        <v>100</v>
      </c>
      <c r="G62" s="203"/>
      <c r="H62" s="203" t="s">
        <v>101</v>
      </c>
      <c r="I62" s="203"/>
      <c r="K62" s="84">
        <f>SUM(K63:K66)</f>
        <v>8.514050000000001</v>
      </c>
    </row>
    <row r="63" spans="1:11" x14ac:dyDescent="0.3">
      <c r="E63" s="61" t="s">
        <v>131</v>
      </c>
      <c r="F63" s="62">
        <v>4</v>
      </c>
      <c r="G63" s="63"/>
      <c r="H63" s="204">
        <v>4</v>
      </c>
      <c r="I63" s="204"/>
      <c r="J63" s="3">
        <v>420</v>
      </c>
      <c r="K63" s="3">
        <f>J63*F63/1000</f>
        <v>1.68</v>
      </c>
    </row>
    <row r="64" spans="1:11" x14ac:dyDescent="0.3">
      <c r="E64" s="64" t="s">
        <v>107</v>
      </c>
      <c r="F64" s="65">
        <v>15</v>
      </c>
      <c r="G64" s="66"/>
      <c r="H64" s="205">
        <v>15</v>
      </c>
      <c r="I64" s="206"/>
      <c r="J64" s="3">
        <v>72.27</v>
      </c>
      <c r="K64" s="3">
        <f>J64*F64/1000</f>
        <v>1.08405</v>
      </c>
    </row>
    <row r="65" spans="1:24" x14ac:dyDescent="0.3">
      <c r="E65" s="64" t="s">
        <v>65</v>
      </c>
      <c r="F65" s="65">
        <v>100</v>
      </c>
      <c r="G65" s="66"/>
      <c r="H65" s="280">
        <v>100</v>
      </c>
      <c r="I65" s="281"/>
      <c r="J65" s="3">
        <v>57.5</v>
      </c>
      <c r="K65" s="3">
        <f>J65*F65/1000</f>
        <v>5.75</v>
      </c>
    </row>
    <row r="66" spans="1:24" x14ac:dyDescent="0.3">
      <c r="E66" s="64" t="s">
        <v>104</v>
      </c>
      <c r="F66" s="67">
        <v>81</v>
      </c>
      <c r="G66" s="68"/>
      <c r="H66" s="280">
        <v>81</v>
      </c>
      <c r="I66" s="281"/>
      <c r="J66" s="3">
        <v>0</v>
      </c>
      <c r="K66" s="3">
        <f>J66*F66/1000</f>
        <v>0</v>
      </c>
    </row>
    <row r="67" spans="1:24" x14ac:dyDescent="0.3">
      <c r="E67" s="70" t="s">
        <v>108</v>
      </c>
      <c r="F67" s="286" t="s">
        <v>109</v>
      </c>
      <c r="G67" s="286"/>
      <c r="H67" s="282">
        <v>200</v>
      </c>
      <c r="I67" s="282"/>
    </row>
    <row r="69" spans="1:24" x14ac:dyDescent="0.3">
      <c r="C69" s="51" t="s">
        <v>112</v>
      </c>
      <c r="D69" s="53">
        <v>40</v>
      </c>
      <c r="J69" s="3">
        <v>50.09</v>
      </c>
      <c r="K69" s="84">
        <f>J69*D69/1000</f>
        <v>2.0036</v>
      </c>
    </row>
    <row r="71" spans="1:24" ht="16.2" thickBot="1" x14ac:dyDescent="0.35">
      <c r="A71" s="81"/>
      <c r="B71" s="81"/>
      <c r="C71" s="81"/>
      <c r="D71" s="82"/>
      <c r="E71" s="82"/>
      <c r="F71" s="82"/>
      <c r="G71" s="82"/>
      <c r="H71" s="82"/>
      <c r="I71" s="82"/>
      <c r="J71" s="83"/>
      <c r="K71" s="83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spans="1:24" x14ac:dyDescent="0.3">
      <c r="A72" s="51" t="s">
        <v>21</v>
      </c>
      <c r="B72" s="51" t="s">
        <v>71</v>
      </c>
    </row>
    <row r="73" spans="1:24" x14ac:dyDescent="0.3">
      <c r="A73" s="51" t="s">
        <v>132</v>
      </c>
      <c r="B73" s="104">
        <f>K73+K79+K83+K97+K102</f>
        <v>62.255287000000003</v>
      </c>
      <c r="C73" s="51" t="s">
        <v>133</v>
      </c>
      <c r="D73" s="53">
        <v>60</v>
      </c>
      <c r="F73" s="283" t="s">
        <v>100</v>
      </c>
      <c r="G73" s="283"/>
      <c r="H73" s="283" t="s">
        <v>101</v>
      </c>
      <c r="I73" s="283"/>
      <c r="K73" s="44">
        <f>K74+K75+K76</f>
        <v>3.1298620000000001</v>
      </c>
    </row>
    <row r="74" spans="1:24" x14ac:dyDescent="0.3">
      <c r="A74" s="53"/>
      <c r="B74" s="53">
        <f>D73+D79+D83+D97+D102</f>
        <v>500</v>
      </c>
      <c r="E74" s="61" t="s">
        <v>45</v>
      </c>
      <c r="F74" s="62">
        <v>56.3</v>
      </c>
      <c r="G74" s="63"/>
      <c r="H74" s="279">
        <v>45</v>
      </c>
      <c r="I74" s="279"/>
      <c r="J74" s="3">
        <v>30</v>
      </c>
      <c r="K74" s="3">
        <f>F74*J74/1000</f>
        <v>1.6890000000000001</v>
      </c>
    </row>
    <row r="75" spans="1:24" x14ac:dyDescent="0.3">
      <c r="A75" s="53"/>
      <c r="B75" s="87"/>
      <c r="E75" s="61" t="s">
        <v>134</v>
      </c>
      <c r="F75" s="65">
        <v>21.5</v>
      </c>
      <c r="G75" s="66"/>
      <c r="H75" s="279">
        <v>15</v>
      </c>
      <c r="I75" s="279"/>
      <c r="J75" s="3">
        <v>65</v>
      </c>
      <c r="K75" s="3">
        <f>F75*J75/1000</f>
        <v>1.3975</v>
      </c>
    </row>
    <row r="76" spans="1:24" x14ac:dyDescent="0.3">
      <c r="A76" s="53"/>
      <c r="B76" s="53"/>
      <c r="E76" s="61" t="s">
        <v>107</v>
      </c>
      <c r="F76" s="67">
        <v>0.6</v>
      </c>
      <c r="G76" s="68"/>
      <c r="H76" s="279">
        <v>0.6</v>
      </c>
      <c r="I76" s="279"/>
      <c r="J76" s="3">
        <v>72.27</v>
      </c>
      <c r="K76" s="3">
        <f>F76*J76/1000</f>
        <v>4.3361999999999998E-2</v>
      </c>
    </row>
    <row r="77" spans="1:24" x14ac:dyDescent="0.3">
      <c r="A77" s="53"/>
      <c r="B77" s="53"/>
      <c r="E77" s="70" t="s">
        <v>108</v>
      </c>
      <c r="F77" s="286" t="s">
        <v>109</v>
      </c>
      <c r="G77" s="286"/>
      <c r="H77" s="282">
        <v>60</v>
      </c>
      <c r="I77" s="282"/>
    </row>
    <row r="79" spans="1:24" x14ac:dyDescent="0.3">
      <c r="A79" s="53"/>
      <c r="B79" s="53"/>
      <c r="C79" s="51" t="s">
        <v>135</v>
      </c>
      <c r="D79" s="53">
        <v>30</v>
      </c>
      <c r="F79" s="283" t="s">
        <v>100</v>
      </c>
      <c r="G79" s="283"/>
      <c r="H79" s="283" t="s">
        <v>101</v>
      </c>
      <c r="I79" s="283"/>
      <c r="K79" s="44">
        <f>K80</f>
        <v>4.41</v>
      </c>
    </row>
    <row r="80" spans="1:24" x14ac:dyDescent="0.3">
      <c r="A80" s="53"/>
      <c r="B80" s="53"/>
      <c r="E80" s="61" t="s">
        <v>136</v>
      </c>
      <c r="F80" s="105">
        <v>30</v>
      </c>
      <c r="G80" s="106"/>
      <c r="H80" s="279">
        <v>30</v>
      </c>
      <c r="I80" s="279"/>
      <c r="J80" s="3">
        <v>147</v>
      </c>
      <c r="K80" s="3">
        <f>F80*J80/1000</f>
        <v>4.41</v>
      </c>
    </row>
    <row r="81" spans="1:11" x14ac:dyDescent="0.3">
      <c r="A81" s="53"/>
      <c r="B81" s="53"/>
      <c r="F81" s="286" t="s">
        <v>109</v>
      </c>
      <c r="G81" s="286"/>
      <c r="H81" s="282">
        <v>20</v>
      </c>
      <c r="I81" s="282"/>
    </row>
    <row r="83" spans="1:11" x14ac:dyDescent="0.3">
      <c r="A83" s="53"/>
      <c r="B83" s="53"/>
      <c r="C83" s="107" t="s">
        <v>137</v>
      </c>
      <c r="D83" s="53">
        <v>170</v>
      </c>
      <c r="F83" s="108" t="s">
        <v>100</v>
      </c>
      <c r="G83" s="108" t="s">
        <v>101</v>
      </c>
      <c r="H83" s="283"/>
      <c r="I83" s="283"/>
      <c r="K83" s="44">
        <f>K84+K85+K86+K87+K88+K89+K90+K91+K92+K93+K94</f>
        <v>51.075775000000007</v>
      </c>
    </row>
    <row r="84" spans="1:11" x14ac:dyDescent="0.3">
      <c r="A84" s="53"/>
      <c r="B84" s="53"/>
      <c r="E84" s="109" t="s">
        <v>138</v>
      </c>
      <c r="F84" s="110">
        <v>158.1</v>
      </c>
      <c r="G84" s="110">
        <v>158.1</v>
      </c>
      <c r="H84" s="320"/>
      <c r="I84" s="279"/>
      <c r="J84" s="3">
        <v>260</v>
      </c>
      <c r="K84" s="3">
        <f t="shared" ref="K84:K94" si="3">J84*F84/1000</f>
        <v>41.106000000000002</v>
      </c>
    </row>
    <row r="85" spans="1:11" x14ac:dyDescent="0.3">
      <c r="A85" s="53"/>
      <c r="B85" s="53"/>
      <c r="E85" s="109" t="s">
        <v>118</v>
      </c>
      <c r="F85" s="110">
        <v>5.9</v>
      </c>
      <c r="G85" s="110">
        <v>5.9</v>
      </c>
      <c r="H85" s="320"/>
      <c r="I85" s="279"/>
      <c r="J85" s="3">
        <v>200</v>
      </c>
      <c r="K85" s="3">
        <f t="shared" si="3"/>
        <v>1.18</v>
      </c>
    </row>
    <row r="86" spans="1:11" x14ac:dyDescent="0.3">
      <c r="A86" s="53"/>
      <c r="B86" s="53"/>
      <c r="E86" s="109" t="s">
        <v>139</v>
      </c>
      <c r="F86" s="110">
        <v>4.9800000000000004</v>
      </c>
      <c r="G86" s="110">
        <v>4.54</v>
      </c>
      <c r="H86" s="320"/>
      <c r="I86" s="279"/>
      <c r="J86" s="111">
        <v>140</v>
      </c>
      <c r="K86" s="3">
        <f t="shared" si="3"/>
        <v>0.69720000000000004</v>
      </c>
    </row>
    <row r="87" spans="1:11" x14ac:dyDescent="0.3">
      <c r="A87" s="53"/>
      <c r="B87" s="53"/>
      <c r="E87" s="109" t="s">
        <v>37</v>
      </c>
      <c r="F87" s="110">
        <v>11</v>
      </c>
      <c r="G87" s="110">
        <v>11</v>
      </c>
      <c r="H87" s="321"/>
      <c r="I87" s="322"/>
      <c r="J87" s="111">
        <v>40</v>
      </c>
      <c r="K87" s="3">
        <f t="shared" si="3"/>
        <v>0.44</v>
      </c>
    </row>
    <row r="88" spans="1:11" x14ac:dyDescent="0.3">
      <c r="A88" s="53"/>
      <c r="B88" s="53"/>
      <c r="E88" s="109" t="s">
        <v>125</v>
      </c>
      <c r="F88" s="110">
        <v>11</v>
      </c>
      <c r="G88" s="110">
        <v>11</v>
      </c>
      <c r="H88" s="320"/>
      <c r="I88" s="279"/>
      <c r="J88" s="3">
        <v>72.27</v>
      </c>
      <c r="K88" s="3">
        <f t="shared" si="3"/>
        <v>0.79496999999999995</v>
      </c>
    </row>
    <row r="89" spans="1:11" x14ac:dyDescent="0.3">
      <c r="A89" s="53"/>
      <c r="B89" s="53"/>
      <c r="E89" s="109" t="s">
        <v>4</v>
      </c>
      <c r="F89" s="110">
        <v>5.9</v>
      </c>
      <c r="G89" s="110">
        <v>5.9</v>
      </c>
      <c r="H89" s="320"/>
      <c r="I89" s="279"/>
      <c r="J89" s="3">
        <v>174</v>
      </c>
      <c r="K89" s="3">
        <f t="shared" si="3"/>
        <v>1.0266000000000002</v>
      </c>
    </row>
    <row r="90" spans="1:11" x14ac:dyDescent="0.3">
      <c r="E90" s="109" t="s">
        <v>105</v>
      </c>
      <c r="F90" s="110">
        <v>5.9</v>
      </c>
      <c r="G90" s="110">
        <v>5.9</v>
      </c>
      <c r="H90" s="320"/>
      <c r="I90" s="279"/>
      <c r="J90" s="3">
        <v>497.15</v>
      </c>
      <c r="K90" s="3">
        <f t="shared" si="3"/>
        <v>2.9331849999999999</v>
      </c>
    </row>
    <row r="91" spans="1:11" x14ac:dyDescent="0.3">
      <c r="E91" s="109" t="s">
        <v>124</v>
      </c>
      <c r="F91" s="110">
        <v>0.46</v>
      </c>
      <c r="G91" s="110">
        <v>0.46</v>
      </c>
      <c r="H91" s="320"/>
      <c r="I91" s="279"/>
      <c r="J91" s="3">
        <v>17</v>
      </c>
      <c r="K91" s="3">
        <f t="shared" si="3"/>
        <v>7.8200000000000006E-3</v>
      </c>
    </row>
    <row r="92" spans="1:11" x14ac:dyDescent="0.3">
      <c r="E92" s="109" t="s">
        <v>104</v>
      </c>
      <c r="F92" s="110">
        <v>40.799999999999997</v>
      </c>
      <c r="G92" s="110">
        <v>40.799999999999997</v>
      </c>
      <c r="H92" s="320"/>
      <c r="I92" s="279"/>
      <c r="J92" s="3">
        <v>0</v>
      </c>
      <c r="K92" s="3">
        <f t="shared" si="3"/>
        <v>0</v>
      </c>
    </row>
    <row r="93" spans="1:11" x14ac:dyDescent="0.3">
      <c r="E93" s="109" t="s">
        <v>140</v>
      </c>
      <c r="F93" s="110">
        <v>0.05</v>
      </c>
      <c r="G93" s="110">
        <v>0.05</v>
      </c>
      <c r="H93" s="320"/>
      <c r="I93" s="279"/>
      <c r="J93" s="112"/>
      <c r="K93" s="3">
        <f t="shared" si="3"/>
        <v>0</v>
      </c>
    </row>
    <row r="94" spans="1:11" x14ac:dyDescent="0.3">
      <c r="E94" s="97" t="s">
        <v>127</v>
      </c>
      <c r="F94" s="291">
        <v>170</v>
      </c>
      <c r="G94" s="291"/>
      <c r="H94" s="320"/>
      <c r="I94" s="279"/>
      <c r="J94" s="3">
        <v>17</v>
      </c>
      <c r="K94" s="3">
        <f t="shared" si="3"/>
        <v>2.89</v>
      </c>
    </row>
    <row r="95" spans="1:11" x14ac:dyDescent="0.3">
      <c r="E95" s="113"/>
      <c r="F95" s="318"/>
      <c r="G95" s="318"/>
      <c r="H95" s="282"/>
      <c r="I95" s="282"/>
    </row>
    <row r="97" spans="1:26" x14ac:dyDescent="0.3">
      <c r="C97" s="51" t="s">
        <v>141</v>
      </c>
      <c r="D97" s="53">
        <v>200</v>
      </c>
      <c r="F97" s="283" t="s">
        <v>100</v>
      </c>
      <c r="G97" s="283"/>
      <c r="H97" s="283" t="s">
        <v>101</v>
      </c>
      <c r="I97" s="283"/>
      <c r="K97" s="44">
        <f>K98+K99</f>
        <v>1.4740500000000001</v>
      </c>
    </row>
    <row r="98" spans="1:26" x14ac:dyDescent="0.3">
      <c r="E98" s="61" t="s">
        <v>8</v>
      </c>
      <c r="F98" s="62">
        <v>0.6</v>
      </c>
      <c r="G98" s="63"/>
      <c r="H98" s="279">
        <v>0.6</v>
      </c>
      <c r="I98" s="279"/>
      <c r="J98" s="3">
        <v>650</v>
      </c>
      <c r="K98" s="3">
        <f>F98*J98/1000</f>
        <v>0.39</v>
      </c>
    </row>
    <row r="99" spans="1:26" x14ac:dyDescent="0.3">
      <c r="E99" s="64" t="s">
        <v>107</v>
      </c>
      <c r="F99" s="67">
        <v>15</v>
      </c>
      <c r="G99" s="68"/>
      <c r="H99" s="280">
        <v>15</v>
      </c>
      <c r="I99" s="281"/>
      <c r="J99" s="3">
        <v>72.27</v>
      </c>
      <c r="K99" s="3">
        <f>F99*J99/1000</f>
        <v>1.08405</v>
      </c>
    </row>
    <row r="100" spans="1:26" x14ac:dyDescent="0.3">
      <c r="E100" s="70" t="s">
        <v>108</v>
      </c>
      <c r="F100" s="286" t="s">
        <v>109</v>
      </c>
      <c r="G100" s="286"/>
      <c r="H100" s="282">
        <v>200</v>
      </c>
      <c r="I100" s="282"/>
    </row>
    <row r="102" spans="1:26" x14ac:dyDescent="0.3">
      <c r="C102" s="51" t="s">
        <v>142</v>
      </c>
      <c r="D102" s="53">
        <v>40</v>
      </c>
      <c r="J102" s="3">
        <v>54.14</v>
      </c>
      <c r="K102" s="44">
        <f>D102*J102/1000</f>
        <v>2.1656</v>
      </c>
    </row>
    <row r="103" spans="1:26" ht="16.2" thickBot="1" x14ac:dyDescent="0.35">
      <c r="A103" s="81"/>
      <c r="B103" s="81"/>
      <c r="C103" s="81"/>
      <c r="D103" s="82"/>
      <c r="E103" s="82"/>
      <c r="F103" s="82"/>
      <c r="G103" s="82"/>
      <c r="H103" s="82"/>
      <c r="I103" s="82"/>
      <c r="J103" s="83"/>
      <c r="K103" s="83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x14ac:dyDescent="0.3">
      <c r="A104" s="51" t="s">
        <v>22</v>
      </c>
      <c r="B104" s="51" t="s">
        <v>71</v>
      </c>
      <c r="C104" s="51" t="s">
        <v>143</v>
      </c>
      <c r="D104" s="53">
        <v>100</v>
      </c>
      <c r="J104" s="114">
        <v>200</v>
      </c>
      <c r="K104" s="115">
        <f>D104*J104/1000</f>
        <v>20</v>
      </c>
    </row>
    <row r="105" spans="1:26" x14ac:dyDescent="0.3">
      <c r="A105" s="51" t="s">
        <v>144</v>
      </c>
      <c r="B105" s="116">
        <f>K107+K104+K118+K124+K130</f>
        <v>70.610643999999994</v>
      </c>
    </row>
    <row r="106" spans="1:26" x14ac:dyDescent="0.3">
      <c r="B106" s="51">
        <f>D104+D107+D118+D124+D130</f>
        <v>490</v>
      </c>
    </row>
    <row r="107" spans="1:26" x14ac:dyDescent="0.3">
      <c r="A107" s="53"/>
      <c r="B107" s="53"/>
      <c r="C107" s="51" t="s">
        <v>329</v>
      </c>
      <c r="F107" s="283" t="s">
        <v>100</v>
      </c>
      <c r="G107" s="283"/>
      <c r="H107" s="283" t="s">
        <v>101</v>
      </c>
      <c r="I107" s="283"/>
      <c r="K107" s="207">
        <f>SUM(K109:K115)</f>
        <v>41.181443999999999</v>
      </c>
      <c r="L107" s="231"/>
      <c r="M107" s="231"/>
    </row>
    <row r="108" spans="1:26" x14ac:dyDescent="0.3">
      <c r="A108" s="53"/>
      <c r="B108" s="53"/>
      <c r="E108" s="210"/>
      <c r="F108" s="279"/>
      <c r="G108" s="279"/>
      <c r="H108" s="208"/>
      <c r="I108" s="209"/>
      <c r="K108" s="3">
        <f t="shared" ref="K108:K115" si="4">J108/1000*F108</f>
        <v>0</v>
      </c>
      <c r="L108" s="242"/>
      <c r="M108" s="242"/>
    </row>
    <row r="109" spans="1:26" x14ac:dyDescent="0.3">
      <c r="A109" s="53"/>
      <c r="B109" s="53"/>
      <c r="E109" s="211" t="s">
        <v>330</v>
      </c>
      <c r="F109" s="284">
        <v>127.8</v>
      </c>
      <c r="G109" s="285"/>
      <c r="H109" s="277">
        <v>91.8</v>
      </c>
      <c r="I109" s="278"/>
      <c r="J109" s="3">
        <v>298.98</v>
      </c>
      <c r="K109" s="3">
        <f t="shared" si="4"/>
        <v>38.209644000000004</v>
      </c>
      <c r="L109" s="242"/>
      <c r="M109" s="242"/>
    </row>
    <row r="110" spans="1:26" x14ac:dyDescent="0.3">
      <c r="A110" s="53"/>
      <c r="B110" s="53"/>
      <c r="E110" s="211" t="s">
        <v>5</v>
      </c>
      <c r="F110" s="277">
        <v>10.8</v>
      </c>
      <c r="G110" s="278"/>
      <c r="H110" s="277">
        <v>10.8</v>
      </c>
      <c r="I110" s="278"/>
      <c r="J110" s="3">
        <v>152</v>
      </c>
      <c r="K110" s="3">
        <f t="shared" si="4"/>
        <v>1.6416000000000002</v>
      </c>
      <c r="L110" s="242"/>
      <c r="M110" s="242"/>
    </row>
    <row r="111" spans="1:26" x14ac:dyDescent="0.3">
      <c r="A111" s="53"/>
      <c r="B111" s="53"/>
      <c r="E111" s="211" t="s">
        <v>331</v>
      </c>
      <c r="F111" s="277">
        <v>16.2</v>
      </c>
      <c r="G111" s="278"/>
      <c r="H111" s="277">
        <v>16.2</v>
      </c>
      <c r="I111" s="278"/>
      <c r="J111" s="3">
        <v>20</v>
      </c>
      <c r="K111" s="3">
        <f t="shared" si="4"/>
        <v>0.32400000000000001</v>
      </c>
      <c r="L111" s="242"/>
      <c r="M111" s="242"/>
    </row>
    <row r="112" spans="1:26" x14ac:dyDescent="0.3">
      <c r="A112" s="53"/>
      <c r="B112" s="53"/>
      <c r="E112" s="211" t="s">
        <v>332</v>
      </c>
      <c r="F112" s="277">
        <v>5.4</v>
      </c>
      <c r="G112" s="278"/>
      <c r="H112" s="277">
        <v>5.4</v>
      </c>
      <c r="I112" s="278"/>
      <c r="J112" s="3">
        <v>37</v>
      </c>
      <c r="K112" s="3">
        <f t="shared" si="4"/>
        <v>0.19980000000000001</v>
      </c>
      <c r="L112" s="242"/>
      <c r="M112" s="242"/>
    </row>
    <row r="113" spans="1:13" x14ac:dyDescent="0.3">
      <c r="A113" s="53"/>
      <c r="B113" s="53"/>
      <c r="E113" s="211" t="s">
        <v>333</v>
      </c>
      <c r="F113" s="277">
        <v>5.4</v>
      </c>
      <c r="G113" s="278"/>
      <c r="H113" s="277">
        <v>5.4</v>
      </c>
      <c r="I113" s="278"/>
      <c r="J113" s="3">
        <v>138</v>
      </c>
      <c r="K113" s="3">
        <f t="shared" si="4"/>
        <v>0.74520000000000008</v>
      </c>
      <c r="L113" s="242"/>
      <c r="M113" s="242"/>
    </row>
    <row r="114" spans="1:13" x14ac:dyDescent="0.3">
      <c r="A114" s="53"/>
      <c r="B114" s="53"/>
      <c r="E114" s="211" t="s">
        <v>334</v>
      </c>
      <c r="F114" s="277">
        <v>3.6</v>
      </c>
      <c r="G114" s="278"/>
      <c r="H114" s="277">
        <v>3.6</v>
      </c>
      <c r="I114" s="278"/>
      <c r="J114" s="3">
        <v>17</v>
      </c>
      <c r="K114" s="3">
        <f t="shared" si="4"/>
        <v>6.1200000000000004E-2</v>
      </c>
      <c r="L114" s="242"/>
      <c r="M114" s="242"/>
    </row>
    <row r="115" spans="1:13" x14ac:dyDescent="0.3">
      <c r="A115" s="53"/>
      <c r="B115" s="53"/>
      <c r="E115" s="212" t="s">
        <v>127</v>
      </c>
      <c r="F115" s="280">
        <v>90</v>
      </c>
      <c r="G115" s="319"/>
      <c r="H115" s="319"/>
      <c r="I115" s="281"/>
      <c r="K115" s="3">
        <f t="shared" si="4"/>
        <v>0</v>
      </c>
      <c r="L115" s="242"/>
      <c r="M115" s="242"/>
    </row>
    <row r="116" spans="1:13" x14ac:dyDescent="0.3">
      <c r="A116" s="53"/>
      <c r="B116" s="53"/>
      <c r="E116" s="70"/>
      <c r="F116" s="117"/>
      <c r="G116" s="118"/>
      <c r="H116" s="282"/>
      <c r="I116" s="282"/>
    </row>
    <row r="118" spans="1:13" x14ac:dyDescent="0.3">
      <c r="A118" s="53"/>
      <c r="B118" s="53"/>
      <c r="C118" s="51" t="s">
        <v>148</v>
      </c>
      <c r="D118" s="53">
        <v>150</v>
      </c>
      <c r="F118" s="283" t="s">
        <v>100</v>
      </c>
      <c r="G118" s="283"/>
      <c r="H118" s="283" t="s">
        <v>101</v>
      </c>
      <c r="I118" s="283"/>
      <c r="K118" s="115">
        <f>SUM(K119:K121)</f>
        <v>4.8765499999999999</v>
      </c>
    </row>
    <row r="119" spans="1:13" x14ac:dyDescent="0.3">
      <c r="A119" s="53"/>
      <c r="B119" s="53"/>
      <c r="E119" s="61" t="s">
        <v>13</v>
      </c>
      <c r="F119" s="62">
        <v>52</v>
      </c>
      <c r="G119" s="63"/>
      <c r="H119" s="279">
        <v>52</v>
      </c>
      <c r="I119" s="279"/>
      <c r="J119" s="3">
        <v>65</v>
      </c>
      <c r="K119" s="3">
        <f>F119*J119/1000</f>
        <v>3.38</v>
      </c>
    </row>
    <row r="120" spans="1:13" x14ac:dyDescent="0.3">
      <c r="A120" s="53"/>
      <c r="B120" s="53"/>
      <c r="E120" s="61" t="s">
        <v>106</v>
      </c>
      <c r="F120" s="65">
        <v>0.3</v>
      </c>
      <c r="G120" s="66"/>
      <c r="H120" s="279">
        <v>0.3</v>
      </c>
      <c r="I120" s="279"/>
      <c r="J120" s="3">
        <v>17</v>
      </c>
      <c r="K120" s="3">
        <f>F120*J120/1000</f>
        <v>5.0999999999999995E-3</v>
      </c>
    </row>
    <row r="121" spans="1:13" x14ac:dyDescent="0.3">
      <c r="A121" s="53"/>
      <c r="B121" s="53"/>
      <c r="E121" s="61" t="s">
        <v>105</v>
      </c>
      <c r="F121" s="67">
        <v>3</v>
      </c>
      <c r="G121" s="68"/>
      <c r="H121" s="279">
        <v>3</v>
      </c>
      <c r="I121" s="279"/>
      <c r="J121" s="3">
        <v>497.15</v>
      </c>
      <c r="K121" s="3">
        <f>F121*J121/1000</f>
        <v>1.4914499999999997</v>
      </c>
    </row>
    <row r="122" spans="1:13" x14ac:dyDescent="0.3">
      <c r="E122" s="70" t="s">
        <v>108</v>
      </c>
      <c r="F122" s="117" t="s">
        <v>109</v>
      </c>
      <c r="G122" s="118"/>
      <c r="H122" s="282">
        <v>150</v>
      </c>
      <c r="I122" s="282"/>
    </row>
    <row r="124" spans="1:13" x14ac:dyDescent="0.3">
      <c r="C124" s="51" t="s">
        <v>149</v>
      </c>
      <c r="D124" s="53">
        <v>200</v>
      </c>
      <c r="F124" s="283" t="s">
        <v>100</v>
      </c>
      <c r="G124" s="283"/>
      <c r="H124" s="283" t="s">
        <v>101</v>
      </c>
      <c r="I124" s="283"/>
      <c r="K124" s="115">
        <f>SUM(K125:K127)</f>
        <v>2.5490500000000003</v>
      </c>
    </row>
    <row r="125" spans="1:13" x14ac:dyDescent="0.3">
      <c r="E125" s="61" t="s">
        <v>8</v>
      </c>
      <c r="F125" s="62">
        <v>0.6</v>
      </c>
      <c r="G125" s="63"/>
      <c r="H125" s="279">
        <v>0.6</v>
      </c>
      <c r="I125" s="279"/>
      <c r="J125" s="3">
        <v>650</v>
      </c>
      <c r="K125" s="3">
        <f>F125*J125/1000</f>
        <v>0.39</v>
      </c>
    </row>
    <row r="126" spans="1:13" x14ac:dyDescent="0.3">
      <c r="E126" s="64" t="s">
        <v>107</v>
      </c>
      <c r="F126" s="65">
        <v>15</v>
      </c>
      <c r="G126" s="66"/>
      <c r="H126" s="280">
        <v>15</v>
      </c>
      <c r="I126" s="281"/>
      <c r="J126" s="3">
        <v>72.27</v>
      </c>
      <c r="K126" s="3">
        <f>F126*J126/1000</f>
        <v>1.08405</v>
      </c>
    </row>
    <row r="127" spans="1:13" x14ac:dyDescent="0.3">
      <c r="E127" s="64" t="s">
        <v>150</v>
      </c>
      <c r="F127" s="67">
        <v>5</v>
      </c>
      <c r="G127" s="68"/>
      <c r="H127" s="280">
        <v>4</v>
      </c>
      <c r="I127" s="281"/>
      <c r="J127" s="3">
        <v>215</v>
      </c>
      <c r="K127" s="3">
        <f>F127*J127/1000</f>
        <v>1.075</v>
      </c>
    </row>
    <row r="128" spans="1:13" x14ac:dyDescent="0.3">
      <c r="E128" s="70" t="s">
        <v>108</v>
      </c>
      <c r="F128" s="286" t="s">
        <v>109</v>
      </c>
      <c r="G128" s="286"/>
      <c r="H128" s="286" t="s">
        <v>151</v>
      </c>
      <c r="I128" s="286"/>
    </row>
    <row r="130" spans="1:26" x14ac:dyDescent="0.3">
      <c r="C130" s="51" t="s">
        <v>112</v>
      </c>
      <c r="D130" s="53">
        <v>40</v>
      </c>
      <c r="J130" s="3">
        <v>50.09</v>
      </c>
      <c r="K130" s="115">
        <f>J130*D130/1000</f>
        <v>2.0036</v>
      </c>
    </row>
    <row r="131" spans="1:26" ht="16.2" thickBot="1" x14ac:dyDescent="0.35">
      <c r="A131" s="81"/>
      <c r="B131" s="81"/>
      <c r="C131" s="81"/>
      <c r="D131" s="82"/>
      <c r="E131" s="82"/>
      <c r="F131" s="82"/>
      <c r="G131" s="82"/>
      <c r="H131" s="82"/>
      <c r="I131" s="82"/>
      <c r="J131" s="83"/>
      <c r="K131" s="83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 x14ac:dyDescent="0.3">
      <c r="A132" s="51" t="s">
        <v>23</v>
      </c>
      <c r="B132" s="51" t="s">
        <v>71</v>
      </c>
      <c r="C132" s="86"/>
      <c r="D132" s="87"/>
      <c r="E132" s="87"/>
      <c r="F132" s="317"/>
      <c r="G132" s="317"/>
      <c r="H132" s="317"/>
      <c r="I132" s="317"/>
      <c r="J132" s="31"/>
      <c r="K132" s="114"/>
    </row>
    <row r="133" spans="1:26" x14ac:dyDescent="0.3">
      <c r="A133" s="51" t="s">
        <v>152</v>
      </c>
      <c r="B133" s="119">
        <f>K133+K138+K140+K149+K151+K153</f>
        <v>48.842750999999993</v>
      </c>
      <c r="C133" s="123" t="s">
        <v>337</v>
      </c>
      <c r="D133" s="124">
        <v>40</v>
      </c>
      <c r="E133" s="124"/>
      <c r="F133" s="124">
        <v>42</v>
      </c>
      <c r="G133" s="124"/>
      <c r="H133" s="124"/>
      <c r="I133" s="124"/>
      <c r="J133" s="111">
        <v>100</v>
      </c>
      <c r="K133" s="239">
        <f>J133*F133/1000</f>
        <v>4.2</v>
      </c>
    </row>
    <row r="134" spans="1:26" x14ac:dyDescent="0.3">
      <c r="B134" s="51">
        <f>D133+D138+D140+D151+D149+D153</f>
        <v>580</v>
      </c>
      <c r="C134" s="86"/>
      <c r="D134" s="87"/>
      <c r="E134" s="120"/>
      <c r="F134" s="314"/>
      <c r="G134" s="314"/>
      <c r="H134" s="315"/>
      <c r="I134" s="315"/>
      <c r="J134" s="31"/>
      <c r="K134" s="31"/>
    </row>
    <row r="135" spans="1:26" hidden="1" x14ac:dyDescent="0.3">
      <c r="F135" s="316"/>
      <c r="G135" s="316"/>
      <c r="H135" s="316"/>
      <c r="I135" s="316"/>
    </row>
    <row r="136" spans="1:26" hidden="1" x14ac:dyDescent="0.3">
      <c r="E136" s="121"/>
      <c r="F136" s="313"/>
      <c r="G136" s="313"/>
      <c r="K136" s="122">
        <f>F136*J136/1000</f>
        <v>0</v>
      </c>
    </row>
    <row r="137" spans="1:26" hidden="1" x14ac:dyDescent="0.3">
      <c r="F137" s="316"/>
      <c r="G137" s="316"/>
      <c r="H137" s="316"/>
      <c r="I137" s="316"/>
    </row>
    <row r="138" spans="1:26" hidden="1" x14ac:dyDescent="0.3">
      <c r="A138" s="53"/>
      <c r="B138" s="53"/>
      <c r="C138" s="123"/>
      <c r="D138" s="124"/>
      <c r="E138" s="121"/>
      <c r="F138" s="313"/>
      <c r="G138" s="313"/>
      <c r="H138" s="313"/>
      <c r="I138" s="313"/>
      <c r="K138" s="122"/>
    </row>
    <row r="140" spans="1:26" x14ac:dyDescent="0.3">
      <c r="A140" s="53"/>
      <c r="B140" s="53"/>
      <c r="C140" s="51" t="s">
        <v>153</v>
      </c>
      <c r="D140" s="53">
        <v>200</v>
      </c>
      <c r="F140" s="283" t="s">
        <v>100</v>
      </c>
      <c r="G140" s="283"/>
      <c r="H140" s="283" t="s">
        <v>101</v>
      </c>
      <c r="I140" s="283"/>
      <c r="K140" s="122">
        <f>SUM(K141:K146)</f>
        <v>34.286700999999994</v>
      </c>
    </row>
    <row r="141" spans="1:26" x14ac:dyDescent="0.3">
      <c r="A141" s="53"/>
      <c r="B141" s="53"/>
      <c r="E141" s="61" t="s">
        <v>154</v>
      </c>
      <c r="F141" s="62">
        <v>137.94</v>
      </c>
      <c r="G141" s="63"/>
      <c r="H141" s="279">
        <f>F141</f>
        <v>137.94</v>
      </c>
      <c r="I141" s="279"/>
      <c r="J141" s="3">
        <v>140</v>
      </c>
      <c r="K141" s="3">
        <f t="shared" ref="K141:K146" si="5">F141*J141/1000</f>
        <v>19.311599999999999</v>
      </c>
    </row>
    <row r="142" spans="1:26" x14ac:dyDescent="0.3">
      <c r="A142" s="53"/>
      <c r="B142" s="53"/>
      <c r="E142" s="64" t="s">
        <v>103</v>
      </c>
      <c r="F142" s="65">
        <v>51.72</v>
      </c>
      <c r="G142" s="66"/>
      <c r="H142" s="279">
        <f>F142</f>
        <v>51.72</v>
      </c>
      <c r="I142" s="279"/>
      <c r="J142" s="3">
        <v>57.5</v>
      </c>
      <c r="K142" s="3">
        <f t="shared" si="5"/>
        <v>2.9739</v>
      </c>
    </row>
    <row r="143" spans="1:26" x14ac:dyDescent="0.3">
      <c r="A143" s="53"/>
      <c r="B143" s="53"/>
      <c r="E143" s="64" t="s">
        <v>105</v>
      </c>
      <c r="F143" s="65">
        <v>6.9</v>
      </c>
      <c r="G143" s="66"/>
      <c r="H143" s="279">
        <f>F143</f>
        <v>6.9</v>
      </c>
      <c r="I143" s="279"/>
      <c r="J143" s="3">
        <v>497.15</v>
      </c>
      <c r="K143" s="3">
        <f t="shared" si="5"/>
        <v>3.4303349999999999</v>
      </c>
    </row>
    <row r="144" spans="1:26" x14ac:dyDescent="0.3">
      <c r="A144" s="53"/>
      <c r="B144" s="53"/>
      <c r="E144" s="64" t="s">
        <v>116</v>
      </c>
      <c r="F144" s="65">
        <v>51.72</v>
      </c>
      <c r="G144" s="66"/>
      <c r="H144" s="279">
        <f>F144</f>
        <v>51.72</v>
      </c>
      <c r="I144" s="279"/>
      <c r="K144" s="3">
        <f t="shared" si="5"/>
        <v>0</v>
      </c>
    </row>
    <row r="145" spans="1:11" x14ac:dyDescent="0.3">
      <c r="A145" s="53"/>
      <c r="B145" s="53"/>
      <c r="E145" s="64" t="s">
        <v>105</v>
      </c>
      <c r="F145" s="125">
        <v>17.239999999999998</v>
      </c>
      <c r="G145" s="126"/>
      <c r="H145" s="279">
        <f>F145</f>
        <v>17.239999999999998</v>
      </c>
      <c r="I145" s="279"/>
      <c r="J145" s="3">
        <v>497.15</v>
      </c>
      <c r="K145" s="3">
        <f t="shared" si="5"/>
        <v>8.5708659999999988</v>
      </c>
    </row>
    <row r="146" spans="1:11" x14ac:dyDescent="0.3">
      <c r="A146" s="53"/>
      <c r="B146" s="53"/>
      <c r="E146" s="61"/>
      <c r="F146" s="279"/>
      <c r="G146" s="279"/>
      <c r="H146" s="279"/>
      <c r="I146" s="279"/>
      <c r="K146" s="3">
        <f t="shared" si="5"/>
        <v>0</v>
      </c>
    </row>
    <row r="147" spans="1:11" x14ac:dyDescent="0.3">
      <c r="A147" s="53"/>
      <c r="B147" s="53"/>
      <c r="E147" s="70" t="s">
        <v>108</v>
      </c>
      <c r="F147" s="286" t="s">
        <v>109</v>
      </c>
      <c r="G147" s="286"/>
      <c r="H147" s="282">
        <v>200</v>
      </c>
      <c r="I147" s="282"/>
    </row>
    <row r="148" spans="1:11" x14ac:dyDescent="0.3">
      <c r="A148" s="53"/>
      <c r="B148" s="53"/>
      <c r="F148" s="283" t="s">
        <v>100</v>
      </c>
      <c r="G148" s="283"/>
      <c r="H148" s="283" t="s">
        <v>101</v>
      </c>
      <c r="I148" s="283"/>
    </row>
    <row r="149" spans="1:11" x14ac:dyDescent="0.3">
      <c r="A149" s="53"/>
      <c r="B149" s="53"/>
      <c r="C149" s="51" t="s">
        <v>155</v>
      </c>
      <c r="D149" s="53">
        <v>100</v>
      </c>
      <c r="E149" s="61" t="s">
        <v>50</v>
      </c>
      <c r="F149" s="62">
        <v>100</v>
      </c>
      <c r="G149" s="63"/>
      <c r="H149" s="279">
        <v>100</v>
      </c>
      <c r="I149" s="279"/>
      <c r="J149" s="3">
        <v>65</v>
      </c>
      <c r="K149" s="122">
        <f>F149*J149/1000</f>
        <v>6.5</v>
      </c>
    </row>
    <row r="151" spans="1:11" x14ac:dyDescent="0.3">
      <c r="A151" s="53"/>
      <c r="B151" s="53"/>
      <c r="C151" s="51" t="s">
        <v>142</v>
      </c>
      <c r="D151" s="53">
        <v>40</v>
      </c>
      <c r="J151" s="3">
        <v>59.55</v>
      </c>
      <c r="K151" s="122">
        <f>D151*J151/1000</f>
        <v>2.3820000000000001</v>
      </c>
    </row>
    <row r="153" spans="1:11" x14ac:dyDescent="0.3">
      <c r="A153" s="53"/>
      <c r="B153" s="53"/>
      <c r="C153" s="51" t="s">
        <v>141</v>
      </c>
      <c r="D153" s="53">
        <v>200</v>
      </c>
      <c r="F153" s="283" t="s">
        <v>100</v>
      </c>
      <c r="G153" s="283"/>
      <c r="H153" s="283" t="s">
        <v>101</v>
      </c>
      <c r="I153" s="283"/>
      <c r="K153" s="122">
        <f>K154+K155</f>
        <v>1.4740500000000001</v>
      </c>
    </row>
    <row r="154" spans="1:11" x14ac:dyDescent="0.3">
      <c r="E154" s="61" t="s">
        <v>8</v>
      </c>
      <c r="F154" s="62">
        <v>0.6</v>
      </c>
      <c r="G154" s="63"/>
      <c r="H154" s="279">
        <v>0.6</v>
      </c>
      <c r="I154" s="279"/>
      <c r="J154" s="3">
        <v>650</v>
      </c>
      <c r="K154" s="3">
        <f>J154*F154/1000</f>
        <v>0.39</v>
      </c>
    </row>
    <row r="155" spans="1:11" x14ac:dyDescent="0.3">
      <c r="E155" s="64" t="s">
        <v>107</v>
      </c>
      <c r="F155" s="67">
        <v>15</v>
      </c>
      <c r="G155" s="68"/>
      <c r="H155" s="280">
        <v>15</v>
      </c>
      <c r="I155" s="281"/>
      <c r="J155" s="3">
        <v>72.27</v>
      </c>
      <c r="K155" s="3">
        <f>J155*F155/1000</f>
        <v>1.08405</v>
      </c>
    </row>
    <row r="156" spans="1:11" x14ac:dyDescent="0.3">
      <c r="E156" s="70" t="s">
        <v>108</v>
      </c>
      <c r="F156" s="286" t="s">
        <v>109</v>
      </c>
      <c r="G156" s="286"/>
      <c r="H156" s="282">
        <v>200</v>
      </c>
      <c r="I156" s="282"/>
    </row>
    <row r="159" spans="1:11" hidden="1" x14ac:dyDescent="0.3">
      <c r="A159" s="107" t="s">
        <v>24</v>
      </c>
      <c r="B159" s="107" t="s">
        <v>71</v>
      </c>
      <c r="C159" s="107"/>
      <c r="D159" s="127"/>
      <c r="E159" s="127"/>
      <c r="F159" s="127"/>
      <c r="G159" s="127"/>
      <c r="H159" s="127"/>
      <c r="I159" s="127"/>
      <c r="J159" s="112"/>
      <c r="K159" s="112"/>
    </row>
    <row r="160" spans="1:11" hidden="1" x14ac:dyDescent="0.3">
      <c r="A160" s="107" t="s">
        <v>156</v>
      </c>
      <c r="B160" s="128">
        <f>K160+K162+K174+K181+K183</f>
        <v>67.155680000000004</v>
      </c>
      <c r="C160" s="107" t="s">
        <v>157</v>
      </c>
      <c r="D160" s="127"/>
      <c r="E160" s="129" t="s">
        <v>158</v>
      </c>
      <c r="F160" s="311">
        <v>102</v>
      </c>
      <c r="G160" s="311"/>
      <c r="H160" s="311">
        <v>100</v>
      </c>
      <c r="I160" s="311"/>
      <c r="J160" s="112">
        <v>105</v>
      </c>
      <c r="K160" s="112">
        <f>F160*J160/1000</f>
        <v>10.71</v>
      </c>
    </row>
    <row r="161" spans="1:11" hidden="1" x14ac:dyDescent="0.3">
      <c r="A161" s="107"/>
      <c r="B161" s="107"/>
      <c r="C161" s="107"/>
      <c r="D161" s="127"/>
      <c r="E161" s="127"/>
      <c r="F161" s="127"/>
      <c r="G161" s="127"/>
      <c r="H161" s="127"/>
      <c r="I161" s="127"/>
      <c r="J161" s="112"/>
      <c r="K161" s="112"/>
    </row>
    <row r="162" spans="1:11" hidden="1" x14ac:dyDescent="0.3">
      <c r="A162" s="107"/>
      <c r="B162" s="107"/>
      <c r="C162" s="107" t="s">
        <v>159</v>
      </c>
      <c r="D162" s="127">
        <v>90</v>
      </c>
      <c r="E162" s="127"/>
      <c r="F162" s="312" t="s">
        <v>100</v>
      </c>
      <c r="G162" s="312"/>
      <c r="H162" s="312" t="s">
        <v>101</v>
      </c>
      <c r="I162" s="312"/>
      <c r="J162" s="112"/>
      <c r="K162" s="112">
        <f>SUM(K163:K171)</f>
        <v>38.222900000000003</v>
      </c>
    </row>
    <row r="163" spans="1:11" hidden="1" x14ac:dyDescent="0.3">
      <c r="A163" s="107"/>
      <c r="B163" s="107"/>
      <c r="C163" s="107"/>
      <c r="D163" s="127"/>
      <c r="E163" s="129" t="s">
        <v>145</v>
      </c>
      <c r="F163" s="311">
        <f>50*H172/90</f>
        <v>50</v>
      </c>
      <c r="G163" s="311"/>
      <c r="H163" s="311">
        <f>42*H172/90</f>
        <v>42</v>
      </c>
      <c r="I163" s="311"/>
      <c r="J163" s="112">
        <v>548</v>
      </c>
      <c r="K163" s="112">
        <f t="shared" ref="K163:K171" si="6">F163*J163/1000</f>
        <v>27.4</v>
      </c>
    </row>
    <row r="164" spans="1:11" hidden="1" x14ac:dyDescent="0.3">
      <c r="A164" s="107"/>
      <c r="B164" s="107"/>
      <c r="C164" s="107"/>
      <c r="D164" s="127"/>
      <c r="E164" s="130" t="s">
        <v>160</v>
      </c>
      <c r="F164" s="309">
        <f>24*H172/90</f>
        <v>24</v>
      </c>
      <c r="G164" s="310"/>
      <c r="H164" s="309">
        <f>20*H172/90</f>
        <v>20</v>
      </c>
      <c r="I164" s="310"/>
      <c r="J164" s="112">
        <v>330</v>
      </c>
      <c r="K164" s="112">
        <f t="shared" si="6"/>
        <v>7.92</v>
      </c>
    </row>
    <row r="165" spans="1:11" hidden="1" x14ac:dyDescent="0.3">
      <c r="A165" s="107"/>
      <c r="B165" s="107"/>
      <c r="C165" s="107"/>
      <c r="D165" s="127"/>
      <c r="E165" s="130" t="s">
        <v>161</v>
      </c>
      <c r="F165" s="309">
        <f>13.5*H172/90</f>
        <v>13.5</v>
      </c>
      <c r="G165" s="310"/>
      <c r="H165" s="309">
        <f t="shared" ref="H165:H171" si="7">F165</f>
        <v>13.5</v>
      </c>
      <c r="I165" s="310"/>
      <c r="J165" s="112">
        <v>45.54</v>
      </c>
      <c r="K165" s="112">
        <f t="shared" si="6"/>
        <v>0.61478999999999995</v>
      </c>
    </row>
    <row r="166" spans="1:11" hidden="1" x14ac:dyDescent="0.3">
      <c r="A166" s="107"/>
      <c r="B166" s="107"/>
      <c r="C166" s="107"/>
      <c r="D166" s="127"/>
      <c r="E166" s="130" t="s">
        <v>146</v>
      </c>
      <c r="F166" s="309">
        <f>4*H172/90</f>
        <v>4</v>
      </c>
      <c r="G166" s="310"/>
      <c r="H166" s="309">
        <f t="shared" si="7"/>
        <v>4</v>
      </c>
      <c r="I166" s="310"/>
      <c r="J166" s="112">
        <v>140</v>
      </c>
      <c r="K166" s="112">
        <f t="shared" si="6"/>
        <v>0.56000000000000005</v>
      </c>
    </row>
    <row r="167" spans="1:11" hidden="1" x14ac:dyDescent="0.3">
      <c r="A167" s="107"/>
      <c r="B167" s="107"/>
      <c r="C167" s="107"/>
      <c r="D167" s="127"/>
      <c r="E167" s="130" t="s">
        <v>162</v>
      </c>
      <c r="F167" s="309">
        <f>3.5*H172/90</f>
        <v>3.5</v>
      </c>
      <c r="G167" s="310"/>
      <c r="H167" s="309">
        <f t="shared" si="7"/>
        <v>3.5</v>
      </c>
      <c r="I167" s="310"/>
      <c r="J167" s="112">
        <v>20</v>
      </c>
      <c r="K167" s="112">
        <f t="shared" si="6"/>
        <v>7.0000000000000007E-2</v>
      </c>
    </row>
    <row r="168" spans="1:11" hidden="1" x14ac:dyDescent="0.3">
      <c r="A168" s="107"/>
      <c r="B168" s="107"/>
      <c r="C168" s="107"/>
      <c r="D168" s="127"/>
      <c r="E168" s="130" t="s">
        <v>103</v>
      </c>
      <c r="F168" s="309">
        <f>13*H172/90</f>
        <v>13</v>
      </c>
      <c r="G168" s="310"/>
      <c r="H168" s="309">
        <f t="shared" si="7"/>
        <v>13</v>
      </c>
      <c r="I168" s="310"/>
      <c r="J168" s="112">
        <v>48.17</v>
      </c>
      <c r="K168" s="112">
        <f t="shared" si="6"/>
        <v>0.62621000000000004</v>
      </c>
    </row>
    <row r="169" spans="1:11" hidden="1" x14ac:dyDescent="0.3">
      <c r="A169" s="107"/>
      <c r="B169" s="107"/>
      <c r="C169" s="107"/>
      <c r="D169" s="127"/>
      <c r="E169" s="129" t="s">
        <v>118</v>
      </c>
      <c r="F169" s="311">
        <f>4*H172/90</f>
        <v>4</v>
      </c>
      <c r="G169" s="311"/>
      <c r="H169" s="309">
        <f t="shared" si="7"/>
        <v>4</v>
      </c>
      <c r="I169" s="310"/>
      <c r="J169" s="112">
        <v>150</v>
      </c>
      <c r="K169" s="112">
        <f t="shared" si="6"/>
        <v>0.6</v>
      </c>
    </row>
    <row r="170" spans="1:11" hidden="1" x14ac:dyDescent="0.3">
      <c r="A170" s="107"/>
      <c r="B170" s="107"/>
      <c r="C170" s="107"/>
      <c r="D170" s="127"/>
      <c r="E170" s="129" t="s">
        <v>106</v>
      </c>
      <c r="F170" s="311">
        <f>0.7*H172/90</f>
        <v>0.7</v>
      </c>
      <c r="G170" s="311"/>
      <c r="H170" s="309">
        <f t="shared" si="7"/>
        <v>0.7</v>
      </c>
      <c r="I170" s="310"/>
      <c r="J170" s="112">
        <v>17</v>
      </c>
      <c r="K170" s="112">
        <f t="shared" si="6"/>
        <v>1.1899999999999999E-2</v>
      </c>
    </row>
    <row r="171" spans="1:11" hidden="1" x14ac:dyDescent="0.3">
      <c r="A171" s="107"/>
      <c r="B171" s="107"/>
      <c r="C171" s="107"/>
      <c r="D171" s="127"/>
      <c r="E171" s="130" t="s">
        <v>147</v>
      </c>
      <c r="F171" s="309">
        <f>3*H172/90</f>
        <v>3</v>
      </c>
      <c r="G171" s="310"/>
      <c r="H171" s="309">
        <f t="shared" si="7"/>
        <v>3</v>
      </c>
      <c r="I171" s="310"/>
      <c r="J171" s="112">
        <v>140</v>
      </c>
      <c r="K171" s="112">
        <f t="shared" si="6"/>
        <v>0.42</v>
      </c>
    </row>
    <row r="172" spans="1:11" hidden="1" x14ac:dyDescent="0.3">
      <c r="A172" s="107"/>
      <c r="B172" s="107"/>
      <c r="C172" s="107"/>
      <c r="D172" s="127"/>
      <c r="E172" s="131" t="s">
        <v>108</v>
      </c>
      <c r="F172" s="306" t="s">
        <v>109</v>
      </c>
      <c r="G172" s="306"/>
      <c r="H172" s="307">
        <v>90</v>
      </c>
      <c r="I172" s="307"/>
      <c r="J172" s="112"/>
      <c r="K172" s="112"/>
    </row>
    <row r="173" spans="1:11" hidden="1" x14ac:dyDescent="0.3">
      <c r="A173" s="107"/>
      <c r="B173" s="107"/>
      <c r="C173" s="107"/>
      <c r="D173" s="127"/>
      <c r="E173" s="127"/>
      <c r="F173" s="127"/>
      <c r="G173" s="127"/>
      <c r="H173" s="127"/>
      <c r="I173" s="127"/>
      <c r="J173" s="112"/>
      <c r="K173" s="112"/>
    </row>
    <row r="174" spans="1:11" hidden="1" x14ac:dyDescent="0.3">
      <c r="A174" s="107"/>
      <c r="B174" s="107"/>
      <c r="C174" s="107" t="s">
        <v>163</v>
      </c>
      <c r="D174" s="127">
        <v>150</v>
      </c>
      <c r="E174" s="127"/>
      <c r="F174" s="312" t="s">
        <v>100</v>
      </c>
      <c r="G174" s="312"/>
      <c r="H174" s="312" t="s">
        <v>101</v>
      </c>
      <c r="I174" s="312"/>
      <c r="J174" s="112"/>
      <c r="K174" s="112">
        <f>SUM(K175:K178)</f>
        <v>7.4011799999999992</v>
      </c>
    </row>
    <row r="175" spans="1:11" hidden="1" x14ac:dyDescent="0.3">
      <c r="A175" s="107"/>
      <c r="B175" s="107"/>
      <c r="C175" s="107"/>
      <c r="D175" s="127"/>
      <c r="E175" s="129" t="s">
        <v>164</v>
      </c>
      <c r="F175" s="311">
        <f>170*H179/150</f>
        <v>170</v>
      </c>
      <c r="G175" s="311"/>
      <c r="H175" s="311">
        <f>128*H179/150</f>
        <v>128</v>
      </c>
      <c r="I175" s="311"/>
      <c r="J175" s="112">
        <v>27</v>
      </c>
      <c r="K175" s="112">
        <f>F175*J175/1000</f>
        <v>4.59</v>
      </c>
    </row>
    <row r="176" spans="1:11" hidden="1" x14ac:dyDescent="0.3">
      <c r="A176" s="107"/>
      <c r="B176" s="107"/>
      <c r="C176" s="107"/>
      <c r="D176" s="127"/>
      <c r="E176" s="130" t="s">
        <v>103</v>
      </c>
      <c r="F176" s="309">
        <f>24*H179/150</f>
        <v>24</v>
      </c>
      <c r="G176" s="310"/>
      <c r="H176" s="309">
        <f>24*H179/150</f>
        <v>24</v>
      </c>
      <c r="I176" s="310"/>
      <c r="J176" s="112">
        <v>48.17</v>
      </c>
      <c r="K176" s="112">
        <f>F176*J176/1000</f>
        <v>1.15608</v>
      </c>
    </row>
    <row r="177" spans="1:26" hidden="1" x14ac:dyDescent="0.3">
      <c r="A177" s="107"/>
      <c r="B177" s="107"/>
      <c r="C177" s="107"/>
      <c r="D177" s="127"/>
      <c r="E177" s="130" t="s">
        <v>105</v>
      </c>
      <c r="F177" s="309">
        <f>3*H179/150</f>
        <v>3</v>
      </c>
      <c r="G177" s="310"/>
      <c r="H177" s="309">
        <f>3*H179/150</f>
        <v>3</v>
      </c>
      <c r="I177" s="310"/>
      <c r="J177" s="112">
        <v>550</v>
      </c>
      <c r="K177" s="112">
        <f>F177*J177/1000</f>
        <v>1.65</v>
      </c>
    </row>
    <row r="178" spans="1:26" hidden="1" x14ac:dyDescent="0.3">
      <c r="A178" s="107"/>
      <c r="B178" s="107"/>
      <c r="C178" s="107"/>
      <c r="D178" s="127"/>
      <c r="E178" s="129" t="s">
        <v>106</v>
      </c>
      <c r="F178" s="311">
        <f>0.3*H179/150</f>
        <v>0.3</v>
      </c>
      <c r="G178" s="311"/>
      <c r="H178" s="311">
        <f>0.3*H179/150</f>
        <v>0.3</v>
      </c>
      <c r="I178" s="311"/>
      <c r="J178" s="112">
        <v>17</v>
      </c>
      <c r="K178" s="112">
        <f>F178*J178/1000</f>
        <v>5.0999999999999995E-3</v>
      </c>
    </row>
    <row r="179" spans="1:26" hidden="1" x14ac:dyDescent="0.3">
      <c r="A179" s="107"/>
      <c r="B179" s="107"/>
      <c r="C179" s="107"/>
      <c r="D179" s="127"/>
      <c r="E179" s="131" t="s">
        <v>108</v>
      </c>
      <c r="F179" s="306" t="s">
        <v>109</v>
      </c>
      <c r="G179" s="306"/>
      <c r="H179" s="307">
        <v>150</v>
      </c>
      <c r="I179" s="307"/>
      <c r="J179" s="112"/>
      <c r="K179" s="112"/>
    </row>
    <row r="180" spans="1:26" hidden="1" x14ac:dyDescent="0.3">
      <c r="A180" s="107"/>
      <c r="B180" s="107"/>
      <c r="C180" s="107"/>
      <c r="D180" s="127"/>
      <c r="E180" s="127"/>
      <c r="F180" s="127"/>
      <c r="G180" s="127"/>
      <c r="H180" s="127"/>
      <c r="I180" s="127"/>
      <c r="J180" s="112"/>
      <c r="K180" s="112"/>
    </row>
    <row r="181" spans="1:26" hidden="1" x14ac:dyDescent="0.3">
      <c r="A181" s="107"/>
      <c r="B181" s="107"/>
      <c r="C181" s="107" t="s">
        <v>165</v>
      </c>
      <c r="D181" s="127">
        <v>200</v>
      </c>
      <c r="E181" s="129" t="s">
        <v>166</v>
      </c>
      <c r="F181" s="308">
        <v>200</v>
      </c>
      <c r="G181" s="308"/>
      <c r="H181" s="308">
        <v>200</v>
      </c>
      <c r="I181" s="308"/>
      <c r="J181" s="112">
        <v>45</v>
      </c>
      <c r="K181" s="112">
        <f>F181*J181/1000</f>
        <v>9</v>
      </c>
    </row>
    <row r="182" spans="1:26" hidden="1" x14ac:dyDescent="0.3">
      <c r="A182" s="107"/>
      <c r="B182" s="107"/>
      <c r="C182" s="107"/>
      <c r="D182" s="127"/>
      <c r="E182" s="127"/>
      <c r="F182" s="127"/>
      <c r="G182" s="127"/>
      <c r="H182" s="127"/>
      <c r="I182" s="127"/>
      <c r="J182" s="112"/>
      <c r="K182" s="112"/>
    </row>
    <row r="183" spans="1:26" hidden="1" x14ac:dyDescent="0.3">
      <c r="A183" s="107"/>
      <c r="B183" s="107"/>
      <c r="C183" s="107" t="s">
        <v>112</v>
      </c>
      <c r="D183" s="127">
        <v>40</v>
      </c>
      <c r="E183" s="127"/>
      <c r="F183" s="127"/>
      <c r="G183" s="127"/>
      <c r="H183" s="127"/>
      <c r="I183" s="127"/>
      <c r="J183" s="112">
        <v>45.54</v>
      </c>
      <c r="K183" s="112">
        <f>D183*J183/1000</f>
        <v>1.8215999999999999</v>
      </c>
    </row>
    <row r="184" spans="1:26" ht="16.2" thickBot="1" x14ac:dyDescent="0.35">
      <c r="A184" s="81"/>
      <c r="B184" s="81"/>
      <c r="C184" s="81"/>
      <c r="D184" s="82"/>
      <c r="E184" s="82"/>
      <c r="F184" s="82"/>
      <c r="G184" s="82"/>
      <c r="H184" s="82"/>
      <c r="I184" s="82"/>
      <c r="J184" s="83"/>
      <c r="K184" s="83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 x14ac:dyDescent="0.3">
      <c r="A185" s="51">
        <v>6</v>
      </c>
      <c r="B185" s="51" t="s">
        <v>71</v>
      </c>
    </row>
    <row r="186" spans="1:26" x14ac:dyDescent="0.3">
      <c r="A186" s="53" t="s">
        <v>95</v>
      </c>
      <c r="B186" s="132">
        <f>K186+K188+K190+K198+K205</f>
        <v>53.598919999999993</v>
      </c>
      <c r="C186" s="51" t="s">
        <v>167</v>
      </c>
      <c r="D186" s="53">
        <v>100</v>
      </c>
      <c r="E186" s="61" t="s">
        <v>168</v>
      </c>
      <c r="F186" s="133">
        <v>100</v>
      </c>
      <c r="G186" s="134"/>
      <c r="H186" s="279">
        <v>100</v>
      </c>
      <c r="I186" s="279"/>
      <c r="J186" s="3">
        <v>140</v>
      </c>
      <c r="K186" s="135">
        <f>F186*J186/1000</f>
        <v>14</v>
      </c>
    </row>
    <row r="187" spans="1:26" x14ac:dyDescent="0.3">
      <c r="B187" s="51">
        <f>D186+D188+D190+D198+D205</f>
        <v>560</v>
      </c>
    </row>
    <row r="188" spans="1:26" x14ac:dyDescent="0.3">
      <c r="A188" s="53"/>
      <c r="C188" s="51" t="s">
        <v>169</v>
      </c>
      <c r="D188" s="53">
        <v>20</v>
      </c>
      <c r="E188" s="61" t="s">
        <v>170</v>
      </c>
      <c r="F188" s="133">
        <v>21</v>
      </c>
      <c r="G188" s="134"/>
      <c r="H188" s="279">
        <v>20</v>
      </c>
      <c r="I188" s="279"/>
      <c r="J188" s="3">
        <v>498</v>
      </c>
      <c r="K188" s="135">
        <f>F188*J188/1000</f>
        <v>10.458</v>
      </c>
    </row>
    <row r="190" spans="1:26" x14ac:dyDescent="0.3">
      <c r="A190" s="53"/>
      <c r="C190" s="51" t="s">
        <v>171</v>
      </c>
      <c r="D190" s="53">
        <v>200</v>
      </c>
      <c r="F190" s="136" t="s">
        <v>100</v>
      </c>
      <c r="G190" s="137"/>
      <c r="H190" s="283" t="s">
        <v>101</v>
      </c>
      <c r="I190" s="283"/>
      <c r="K190" s="135">
        <f>SUM(K191:K195)</f>
        <v>19.177870000000002</v>
      </c>
    </row>
    <row r="191" spans="1:26" x14ac:dyDescent="0.3">
      <c r="A191" s="53"/>
      <c r="E191" s="61" t="s">
        <v>36</v>
      </c>
      <c r="F191" s="62">
        <f>50*H196/200</f>
        <v>50</v>
      </c>
      <c r="G191" s="63"/>
      <c r="H191" s="279">
        <f>F191</f>
        <v>50</v>
      </c>
      <c r="I191" s="279"/>
      <c r="J191" s="3">
        <v>95</v>
      </c>
      <c r="K191" s="3">
        <f>F191*J191/1000</f>
        <v>4.75</v>
      </c>
    </row>
    <row r="192" spans="1:26" x14ac:dyDescent="0.3">
      <c r="A192" s="53"/>
      <c r="E192" s="64" t="s">
        <v>103</v>
      </c>
      <c r="F192" s="65">
        <f>200*H196/200</f>
        <v>200</v>
      </c>
      <c r="G192" s="66"/>
      <c r="H192" s="280">
        <f>F192</f>
        <v>200</v>
      </c>
      <c r="I192" s="281"/>
      <c r="J192" s="3">
        <v>57.5</v>
      </c>
      <c r="K192" s="3">
        <f>F192*J192/1000</f>
        <v>11.5</v>
      </c>
    </row>
    <row r="193" spans="1:26" x14ac:dyDescent="0.3">
      <c r="A193" s="53"/>
      <c r="E193" s="64" t="s">
        <v>107</v>
      </c>
      <c r="F193" s="65">
        <f>6*H196/200</f>
        <v>6</v>
      </c>
      <c r="G193" s="66"/>
      <c r="H193" s="280">
        <f>F193</f>
        <v>6</v>
      </c>
      <c r="I193" s="281"/>
      <c r="J193" s="3">
        <v>72.27</v>
      </c>
      <c r="K193" s="3">
        <f>F193*J193/1000</f>
        <v>0.43362000000000001</v>
      </c>
    </row>
    <row r="194" spans="1:26" x14ac:dyDescent="0.3">
      <c r="A194" s="53"/>
      <c r="E194" s="64" t="s">
        <v>105</v>
      </c>
      <c r="F194" s="65">
        <f>5*H196/200</f>
        <v>5</v>
      </c>
      <c r="G194" s="66"/>
      <c r="H194" s="280">
        <f>F194</f>
        <v>5</v>
      </c>
      <c r="I194" s="281"/>
      <c r="J194" s="3">
        <v>497.15</v>
      </c>
      <c r="K194" s="3">
        <f>F194*J194/1000</f>
        <v>2.4857499999999999</v>
      </c>
    </row>
    <row r="195" spans="1:26" x14ac:dyDescent="0.3">
      <c r="A195" s="53"/>
      <c r="E195" s="61" t="s">
        <v>106</v>
      </c>
      <c r="F195" s="67">
        <f>0.5*H196/200</f>
        <v>0.5</v>
      </c>
      <c r="G195" s="68"/>
      <c r="H195" s="279">
        <f>F195</f>
        <v>0.5</v>
      </c>
      <c r="I195" s="279"/>
      <c r="J195" s="3">
        <v>17</v>
      </c>
      <c r="K195" s="3">
        <f>F195*J195/1000</f>
        <v>8.5000000000000006E-3</v>
      </c>
    </row>
    <row r="196" spans="1:26" x14ac:dyDescent="0.3">
      <c r="A196" s="53"/>
      <c r="E196" s="70" t="s">
        <v>108</v>
      </c>
      <c r="F196" s="117" t="s">
        <v>109</v>
      </c>
      <c r="G196" s="118"/>
      <c r="H196" s="282">
        <v>200</v>
      </c>
      <c r="I196" s="282"/>
      <c r="J196" s="3" t="s">
        <v>172</v>
      </c>
    </row>
    <row r="198" spans="1:26" x14ac:dyDescent="0.3">
      <c r="A198" s="53"/>
      <c r="C198" s="51" t="s">
        <v>130</v>
      </c>
      <c r="D198" s="53">
        <v>200</v>
      </c>
      <c r="F198" s="136" t="s">
        <v>100</v>
      </c>
      <c r="G198" s="137"/>
      <c r="H198" s="283" t="s">
        <v>101</v>
      </c>
      <c r="I198" s="283"/>
      <c r="K198" s="135">
        <f>SUM(K199:K202)</f>
        <v>7.5810500000000003</v>
      </c>
    </row>
    <row r="199" spans="1:26" x14ac:dyDescent="0.3">
      <c r="A199" s="53"/>
      <c r="E199" s="61" t="s">
        <v>131</v>
      </c>
      <c r="F199" s="62">
        <v>4</v>
      </c>
      <c r="G199" s="63"/>
      <c r="H199" s="279">
        <v>4</v>
      </c>
      <c r="I199" s="279"/>
      <c r="J199" s="3">
        <v>420</v>
      </c>
      <c r="K199" s="3">
        <f>J199*F199/1000</f>
        <v>1.68</v>
      </c>
    </row>
    <row r="200" spans="1:26" x14ac:dyDescent="0.3">
      <c r="A200" s="53"/>
      <c r="E200" s="64" t="s">
        <v>107</v>
      </c>
      <c r="F200" s="65">
        <v>15</v>
      </c>
      <c r="G200" s="66"/>
      <c r="H200" s="280">
        <v>15</v>
      </c>
      <c r="I200" s="281"/>
      <c r="J200" s="3">
        <v>72.27</v>
      </c>
      <c r="K200" s="3">
        <f>J200*F200/1000</f>
        <v>1.08405</v>
      </c>
    </row>
    <row r="201" spans="1:26" x14ac:dyDescent="0.3">
      <c r="A201" s="53"/>
      <c r="E201" s="64" t="s">
        <v>65</v>
      </c>
      <c r="F201" s="65">
        <v>100</v>
      </c>
      <c r="G201" s="66"/>
      <c r="H201" s="280">
        <v>100</v>
      </c>
      <c r="I201" s="281"/>
      <c r="J201" s="3">
        <v>48.17</v>
      </c>
      <c r="K201" s="3">
        <f>J201*F201/1000</f>
        <v>4.8170000000000002</v>
      </c>
    </row>
    <row r="202" spans="1:26" x14ac:dyDescent="0.3">
      <c r="E202" s="64" t="s">
        <v>104</v>
      </c>
      <c r="F202" s="67">
        <v>81</v>
      </c>
      <c r="G202" s="68"/>
      <c r="H202" s="280">
        <v>81</v>
      </c>
      <c r="I202" s="281"/>
      <c r="J202" s="3">
        <v>0</v>
      </c>
      <c r="K202" s="3">
        <f>J202*F202/1000</f>
        <v>0</v>
      </c>
    </row>
    <row r="203" spans="1:26" x14ac:dyDescent="0.3">
      <c r="E203" s="70" t="s">
        <v>108</v>
      </c>
      <c r="F203" s="117" t="s">
        <v>109</v>
      </c>
      <c r="G203" s="118"/>
      <c r="H203" s="282">
        <v>200</v>
      </c>
      <c r="I203" s="282"/>
    </row>
    <row r="205" spans="1:26" x14ac:dyDescent="0.3">
      <c r="C205" s="51" t="s">
        <v>142</v>
      </c>
      <c r="D205" s="53">
        <v>40</v>
      </c>
      <c r="J205" s="3">
        <v>59.55</v>
      </c>
      <c r="K205" s="135">
        <f>D205*J205/1000</f>
        <v>2.3820000000000001</v>
      </c>
    </row>
    <row r="206" spans="1:26" ht="16.2" thickBot="1" x14ac:dyDescent="0.35">
      <c r="A206" s="81"/>
      <c r="B206" s="81"/>
      <c r="C206" s="81"/>
      <c r="D206" s="82"/>
      <c r="E206" s="82"/>
      <c r="F206" s="82"/>
      <c r="G206" s="82"/>
      <c r="H206" s="82"/>
      <c r="I206" s="82"/>
      <c r="J206" s="83"/>
      <c r="K206" s="83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 x14ac:dyDescent="0.3">
      <c r="A207" s="51">
        <v>7</v>
      </c>
      <c r="B207" s="51" t="s">
        <v>71</v>
      </c>
    </row>
    <row r="208" spans="1:26" x14ac:dyDescent="0.3">
      <c r="A208" s="51" t="s">
        <v>113</v>
      </c>
      <c r="B208" s="138">
        <f>K208+K216+K234+K242+K247</f>
        <v>49.973124500000004</v>
      </c>
      <c r="C208" s="168" t="s">
        <v>173</v>
      </c>
      <c r="D208" s="168">
        <v>40</v>
      </c>
      <c r="E208" s="168"/>
      <c r="F208" s="168"/>
      <c r="G208" s="168"/>
      <c r="H208" s="168"/>
      <c r="I208" s="168"/>
      <c r="K208" s="84">
        <f>K209+K210+K211+K212</f>
        <v>2.0425400000000002</v>
      </c>
    </row>
    <row r="209" spans="1:12" x14ac:dyDescent="0.3">
      <c r="B209" s="51">
        <f>D208+D216+D234+D242+D247</f>
        <v>520</v>
      </c>
      <c r="C209" s="167"/>
      <c r="D209" s="168"/>
      <c r="E209" s="169" t="s">
        <v>174</v>
      </c>
      <c r="F209" s="243">
        <v>43</v>
      </c>
      <c r="G209" s="244"/>
      <c r="H209" s="168"/>
      <c r="I209" s="168"/>
      <c r="J209" s="3">
        <v>30</v>
      </c>
      <c r="K209" s="3">
        <f>J209*F209/1000</f>
        <v>1.29</v>
      </c>
    </row>
    <row r="210" spans="1:12" x14ac:dyDescent="0.3">
      <c r="B210" s="52"/>
      <c r="C210" s="167"/>
      <c r="D210" s="168"/>
      <c r="E210" s="169" t="s">
        <v>175</v>
      </c>
      <c r="F210" s="243">
        <v>2</v>
      </c>
      <c r="G210" s="244"/>
      <c r="H210" s="168"/>
      <c r="I210" s="168"/>
      <c r="J210" s="3">
        <v>72.27</v>
      </c>
      <c r="K210" s="3">
        <f>J210*F210/1000</f>
        <v>0.14454</v>
      </c>
    </row>
    <row r="211" spans="1:12" x14ac:dyDescent="0.3">
      <c r="C211" s="167"/>
      <c r="D211" s="168"/>
      <c r="E211" s="169" t="s">
        <v>176</v>
      </c>
      <c r="F211" s="243">
        <v>4</v>
      </c>
      <c r="G211" s="244"/>
      <c r="H211" s="168"/>
      <c r="I211" s="168"/>
      <c r="J211" s="3">
        <v>152</v>
      </c>
      <c r="K211" s="3">
        <f>J211*F211/1000</f>
        <v>0.60799999999999998</v>
      </c>
    </row>
    <row r="212" spans="1:12" x14ac:dyDescent="0.3">
      <c r="C212" s="167"/>
      <c r="D212" s="168"/>
      <c r="E212" s="169"/>
      <c r="F212" s="289"/>
      <c r="G212" s="290"/>
      <c r="H212" s="168"/>
      <c r="I212" s="168"/>
      <c r="K212" s="3">
        <f>J212*F212/1000</f>
        <v>0</v>
      </c>
    </row>
    <row r="213" spans="1:12" x14ac:dyDescent="0.3">
      <c r="C213" s="167"/>
      <c r="D213" s="168"/>
      <c r="E213" s="168"/>
      <c r="F213" s="168"/>
      <c r="G213" s="168"/>
      <c r="H213" s="168"/>
      <c r="I213" s="168"/>
    </row>
    <row r="214" spans="1:12" x14ac:dyDescent="0.3">
      <c r="C214" s="86"/>
      <c r="D214" s="87"/>
      <c r="E214" s="250"/>
      <c r="F214" s="303"/>
      <c r="G214" s="303"/>
      <c r="H214" s="246"/>
      <c r="I214" s="246"/>
      <c r="J214" s="247"/>
      <c r="K214" s="251"/>
      <c r="L214" s="231"/>
    </row>
    <row r="216" spans="1:12" ht="14.4" x14ac:dyDescent="0.25">
      <c r="A216" s="53"/>
      <c r="B216" s="53"/>
      <c r="C216" s="90" t="s">
        <v>177</v>
      </c>
      <c r="D216" s="53">
        <v>90</v>
      </c>
      <c r="F216" s="294" t="s">
        <v>100</v>
      </c>
      <c r="G216" s="283"/>
      <c r="H216" s="294" t="s">
        <v>101</v>
      </c>
      <c r="I216" s="283"/>
      <c r="K216" s="139">
        <f>SUM(K217:K227)</f>
        <v>40.078084500000003</v>
      </c>
    </row>
    <row r="217" spans="1:12" x14ac:dyDescent="0.3">
      <c r="A217" s="53"/>
      <c r="B217" s="53"/>
      <c r="E217" s="91" t="s">
        <v>115</v>
      </c>
      <c r="F217" s="140">
        <v>65.7</v>
      </c>
      <c r="G217" s="141"/>
      <c r="H217" s="304">
        <v>46.8</v>
      </c>
      <c r="I217" s="305"/>
      <c r="J217" s="3">
        <v>548</v>
      </c>
      <c r="K217" s="3">
        <f>F217*J217/1000</f>
        <v>36.003599999999999</v>
      </c>
    </row>
    <row r="218" spans="1:12" x14ac:dyDescent="0.3">
      <c r="A218" s="53"/>
      <c r="B218" s="53"/>
      <c r="E218" s="91" t="s">
        <v>117</v>
      </c>
      <c r="F218" s="142">
        <v>9.4499999999999993</v>
      </c>
      <c r="G218" s="143"/>
      <c r="H218" s="299">
        <v>9.4499999999999993</v>
      </c>
      <c r="I218" s="300"/>
      <c r="J218" s="3">
        <v>50.09</v>
      </c>
      <c r="K218" s="3">
        <f>F218*J218/1000</f>
        <v>0.47335050000000001</v>
      </c>
    </row>
    <row r="219" spans="1:12" x14ac:dyDescent="0.3">
      <c r="A219" s="53"/>
      <c r="B219" s="53"/>
      <c r="E219" s="91" t="s">
        <v>104</v>
      </c>
      <c r="F219" s="142">
        <v>16.38</v>
      </c>
      <c r="G219" s="143"/>
      <c r="H219" s="299">
        <v>16.38</v>
      </c>
      <c r="I219" s="300"/>
      <c r="J219" s="3">
        <v>0</v>
      </c>
      <c r="K219" s="3">
        <f>F219*J219/1000</f>
        <v>0</v>
      </c>
    </row>
    <row r="220" spans="1:12" x14ac:dyDescent="0.3">
      <c r="A220" s="53"/>
      <c r="B220" s="53"/>
      <c r="E220" s="91" t="s">
        <v>105</v>
      </c>
      <c r="F220" s="142">
        <v>1.8</v>
      </c>
      <c r="G220" s="143"/>
      <c r="H220" s="299">
        <v>1.8</v>
      </c>
      <c r="I220" s="300"/>
      <c r="J220" s="3">
        <v>497.15</v>
      </c>
      <c r="K220" s="3">
        <f>F220*J220/1000</f>
        <v>0.89487000000000005</v>
      </c>
    </row>
    <row r="221" spans="1:12" x14ac:dyDescent="0.3">
      <c r="A221" s="53"/>
      <c r="B221" s="53"/>
      <c r="E221" s="91" t="s">
        <v>119</v>
      </c>
      <c r="F221" s="144" t="s">
        <v>109</v>
      </c>
      <c r="G221" s="145"/>
      <c r="H221" s="301">
        <v>73.8</v>
      </c>
      <c r="I221" s="302"/>
    </row>
    <row r="222" spans="1:12" ht="26.4" x14ac:dyDescent="0.3">
      <c r="A222" s="53"/>
      <c r="B222" s="53"/>
      <c r="E222" s="140" t="s">
        <v>178</v>
      </c>
      <c r="F222" s="91" t="s">
        <v>109</v>
      </c>
      <c r="G222" s="92"/>
      <c r="H222" s="296">
        <v>27</v>
      </c>
      <c r="I222" s="297"/>
    </row>
    <row r="223" spans="1:12" x14ac:dyDescent="0.3">
      <c r="A223" s="53"/>
      <c r="B223" s="53"/>
      <c r="E223" s="91" t="s">
        <v>103</v>
      </c>
      <c r="F223" s="91">
        <v>27</v>
      </c>
      <c r="G223" s="92"/>
      <c r="H223" s="296">
        <v>27</v>
      </c>
      <c r="I223" s="297"/>
      <c r="J223" s="3">
        <v>57.5</v>
      </c>
      <c r="K223" s="3">
        <f>F223*J223/1000</f>
        <v>1.5525</v>
      </c>
    </row>
    <row r="224" spans="1:12" x14ac:dyDescent="0.3">
      <c r="A224" s="53"/>
      <c r="B224" s="53"/>
      <c r="E224" s="91" t="s">
        <v>34</v>
      </c>
      <c r="F224" s="91">
        <v>2.16</v>
      </c>
      <c r="G224" s="92"/>
      <c r="H224" s="296">
        <v>2.16</v>
      </c>
      <c r="I224" s="297"/>
      <c r="J224" s="3">
        <v>37</v>
      </c>
      <c r="K224" s="3">
        <f>F224*J224/1000</f>
        <v>7.9920000000000005E-2</v>
      </c>
    </row>
    <row r="225" spans="1:11" x14ac:dyDescent="0.3">
      <c r="A225" s="53"/>
      <c r="B225" s="53"/>
      <c r="E225" s="91" t="s">
        <v>105</v>
      </c>
      <c r="F225" s="91">
        <v>2.16</v>
      </c>
      <c r="G225" s="92"/>
      <c r="H225" s="296">
        <v>2.16</v>
      </c>
      <c r="I225" s="297"/>
      <c r="J225" s="3">
        <v>497.15</v>
      </c>
      <c r="K225" s="3">
        <f>F225*J225/1000</f>
        <v>1.073844</v>
      </c>
    </row>
    <row r="226" spans="1:11" x14ac:dyDescent="0.3">
      <c r="A226" s="53"/>
      <c r="B226" s="53"/>
      <c r="E226" s="97" t="s">
        <v>127</v>
      </c>
      <c r="F226" s="298">
        <v>90</v>
      </c>
      <c r="G226" s="298"/>
      <c r="H226" s="298"/>
      <c r="I226" s="298"/>
      <c r="K226" s="3">
        <f>F226*J226/1000</f>
        <v>0</v>
      </c>
    </row>
    <row r="227" spans="1:11" x14ac:dyDescent="0.3">
      <c r="A227" s="53"/>
      <c r="B227" s="53"/>
      <c r="E227" s="61"/>
      <c r="F227" s="146"/>
      <c r="G227" s="146"/>
      <c r="H227" s="147"/>
      <c r="I227" s="148"/>
      <c r="K227" s="3">
        <f>F227*J227/1000</f>
        <v>0</v>
      </c>
    </row>
    <row r="228" spans="1:11" x14ac:dyDescent="0.3">
      <c r="A228" s="53"/>
      <c r="B228" s="53"/>
      <c r="E228" s="70"/>
      <c r="F228" s="146"/>
      <c r="G228" s="146"/>
      <c r="H228" s="117"/>
      <c r="I228" s="118"/>
    </row>
    <row r="229" spans="1:11" x14ac:dyDescent="0.3">
      <c r="A229" s="53"/>
      <c r="B229" s="53"/>
      <c r="E229" s="98"/>
      <c r="F229" s="146"/>
      <c r="G229" s="146"/>
      <c r="H229" s="99"/>
      <c r="I229" s="99"/>
    </row>
    <row r="230" spans="1:11" x14ac:dyDescent="0.3">
      <c r="A230" s="53"/>
      <c r="B230" s="53"/>
      <c r="E230" s="98"/>
      <c r="F230" s="146"/>
      <c r="G230" s="146"/>
      <c r="H230" s="99"/>
      <c r="I230" s="99"/>
    </row>
    <row r="231" spans="1:11" x14ac:dyDescent="0.3">
      <c r="A231" s="53"/>
      <c r="B231" s="53"/>
      <c r="E231" s="98"/>
      <c r="F231" s="99"/>
      <c r="G231" s="99"/>
      <c r="H231" s="99"/>
      <c r="I231" s="99"/>
    </row>
    <row r="232" spans="1:11" x14ac:dyDescent="0.3">
      <c r="A232" s="53"/>
      <c r="B232" s="53"/>
      <c r="E232" s="98"/>
      <c r="F232" s="99"/>
      <c r="G232" s="99"/>
      <c r="H232" s="99"/>
      <c r="I232" s="99"/>
    </row>
    <row r="234" spans="1:11" x14ac:dyDescent="0.3">
      <c r="A234" s="53"/>
      <c r="B234" s="53"/>
      <c r="C234" s="51" t="s">
        <v>179</v>
      </c>
      <c r="D234" s="53">
        <v>150</v>
      </c>
      <c r="F234" s="283" t="s">
        <v>100</v>
      </c>
      <c r="G234" s="283"/>
      <c r="H234" s="283" t="s">
        <v>101</v>
      </c>
      <c r="I234" s="283"/>
      <c r="K234" s="139">
        <f>SUM(K235:K239)</f>
        <v>4.4648500000000002</v>
      </c>
    </row>
    <row r="235" spans="1:11" x14ac:dyDescent="0.3">
      <c r="A235" s="53"/>
      <c r="B235" s="53"/>
      <c r="E235" s="61" t="s">
        <v>129</v>
      </c>
      <c r="F235" s="62">
        <v>16</v>
      </c>
      <c r="G235" s="63"/>
      <c r="H235" s="279">
        <v>16</v>
      </c>
      <c r="I235" s="279"/>
      <c r="J235" s="3">
        <v>84</v>
      </c>
      <c r="K235" s="3">
        <f>F235*J235/1000</f>
        <v>1.3440000000000001</v>
      </c>
    </row>
    <row r="236" spans="1:11" x14ac:dyDescent="0.3">
      <c r="E236" s="64" t="s">
        <v>104</v>
      </c>
      <c r="F236" s="65">
        <v>120</v>
      </c>
      <c r="G236" s="66"/>
      <c r="H236" s="280">
        <v>120</v>
      </c>
      <c r="I236" s="281"/>
      <c r="J236" s="3">
        <v>0</v>
      </c>
      <c r="K236" s="3">
        <f>F236*J236/1000</f>
        <v>0</v>
      </c>
    </row>
    <row r="237" spans="1:11" x14ac:dyDescent="0.3">
      <c r="E237" s="61" t="s">
        <v>180</v>
      </c>
      <c r="F237" s="65">
        <v>18</v>
      </c>
      <c r="G237" s="66"/>
      <c r="H237" s="279">
        <v>18</v>
      </c>
      <c r="I237" s="279"/>
      <c r="J237" s="3">
        <v>35</v>
      </c>
      <c r="K237" s="3">
        <f>F237*J237/1000</f>
        <v>0.63</v>
      </c>
    </row>
    <row r="238" spans="1:11" x14ac:dyDescent="0.3">
      <c r="E238" s="61" t="s">
        <v>106</v>
      </c>
      <c r="F238" s="65">
        <v>0.3</v>
      </c>
      <c r="G238" s="66"/>
      <c r="H238" s="279">
        <v>0.3</v>
      </c>
      <c r="I238" s="279"/>
      <c r="J238" s="3">
        <v>17</v>
      </c>
      <c r="K238" s="3">
        <f>F238*J238/1000</f>
        <v>5.0999999999999995E-3</v>
      </c>
    </row>
    <row r="239" spans="1:11" x14ac:dyDescent="0.3">
      <c r="E239" s="61" t="s">
        <v>105</v>
      </c>
      <c r="F239" s="67">
        <v>5</v>
      </c>
      <c r="G239" s="68"/>
      <c r="H239" s="279">
        <v>5</v>
      </c>
      <c r="I239" s="279"/>
      <c r="J239" s="3">
        <v>497.15</v>
      </c>
      <c r="K239" s="3">
        <f>F239*J239/1000</f>
        <v>2.4857499999999999</v>
      </c>
    </row>
    <row r="240" spans="1:11" x14ac:dyDescent="0.3">
      <c r="E240" s="70" t="s">
        <v>108</v>
      </c>
      <c r="F240" s="117" t="s">
        <v>109</v>
      </c>
      <c r="G240" s="118"/>
      <c r="H240" s="282">
        <v>150</v>
      </c>
      <c r="I240" s="282"/>
    </row>
    <row r="242" spans="1:26" x14ac:dyDescent="0.3">
      <c r="C242" s="51" t="s">
        <v>141</v>
      </c>
      <c r="D242" s="53">
        <v>200</v>
      </c>
      <c r="F242" s="136" t="s">
        <v>100</v>
      </c>
      <c r="G242" s="137"/>
      <c r="H242" s="283" t="s">
        <v>101</v>
      </c>
      <c r="I242" s="283"/>
      <c r="K242" s="139">
        <f>K243+K244</f>
        <v>1.38405</v>
      </c>
    </row>
    <row r="243" spans="1:26" x14ac:dyDescent="0.3">
      <c r="E243" s="61" t="s">
        <v>8</v>
      </c>
      <c r="F243" s="62">
        <v>0.6</v>
      </c>
      <c r="G243" s="63"/>
      <c r="H243" s="279">
        <v>0.6</v>
      </c>
      <c r="I243" s="279"/>
      <c r="J243" s="3">
        <v>500</v>
      </c>
      <c r="K243" s="3">
        <f>J243*F243/1000</f>
        <v>0.3</v>
      </c>
    </row>
    <row r="244" spans="1:26" x14ac:dyDescent="0.3">
      <c r="E244" s="64" t="s">
        <v>107</v>
      </c>
      <c r="F244" s="67">
        <v>15</v>
      </c>
      <c r="G244" s="68"/>
      <c r="H244" s="280">
        <v>15</v>
      </c>
      <c r="I244" s="281"/>
      <c r="J244" s="3">
        <v>72.27</v>
      </c>
      <c r="K244" s="3">
        <f>J244*F244/1000</f>
        <v>1.08405</v>
      </c>
    </row>
    <row r="245" spans="1:26" x14ac:dyDescent="0.3">
      <c r="E245" s="70" t="s">
        <v>108</v>
      </c>
      <c r="F245" s="117" t="s">
        <v>109</v>
      </c>
      <c r="G245" s="118"/>
      <c r="H245" s="282">
        <v>200</v>
      </c>
      <c r="I245" s="282"/>
    </row>
    <row r="247" spans="1:26" x14ac:dyDescent="0.3">
      <c r="C247" s="51" t="s">
        <v>112</v>
      </c>
      <c r="D247" s="53">
        <v>40</v>
      </c>
      <c r="J247" s="3">
        <v>50.09</v>
      </c>
      <c r="K247" s="139">
        <f>D247*J247/1000</f>
        <v>2.0036</v>
      </c>
    </row>
    <row r="248" spans="1:26" ht="16.2" thickBot="1" x14ac:dyDescent="0.35">
      <c r="A248" s="81"/>
      <c r="B248" s="81"/>
      <c r="C248" s="81"/>
      <c r="D248" s="82"/>
      <c r="E248" s="82"/>
      <c r="F248" s="82"/>
      <c r="G248" s="82"/>
      <c r="H248" s="82"/>
      <c r="I248" s="82"/>
      <c r="J248" s="83"/>
      <c r="K248" s="83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 x14ac:dyDescent="0.3">
      <c r="A249" s="51">
        <v>8</v>
      </c>
      <c r="B249" s="51" t="s">
        <v>71</v>
      </c>
    </row>
    <row r="250" spans="1:26" x14ac:dyDescent="0.3">
      <c r="A250" s="51" t="s">
        <v>132</v>
      </c>
      <c r="B250" s="149">
        <f>K252+K256+K268+K274</f>
        <v>53.416423157894734</v>
      </c>
      <c r="J250" s="114"/>
      <c r="K250" s="115"/>
    </row>
    <row r="251" spans="1:26" x14ac:dyDescent="0.3">
      <c r="B251" s="51">
        <f>D250+D252+D256+D268+D274</f>
        <v>440</v>
      </c>
    </row>
    <row r="252" spans="1:26" x14ac:dyDescent="0.3">
      <c r="A252" s="53"/>
      <c r="B252" s="53"/>
      <c r="C252" s="51" t="s">
        <v>136</v>
      </c>
      <c r="D252" s="53">
        <v>30</v>
      </c>
      <c r="F252" s="150" t="s">
        <v>100</v>
      </c>
      <c r="G252" s="150" t="s">
        <v>101</v>
      </c>
      <c r="K252" s="115">
        <f>K253</f>
        <v>7.7652631578947364</v>
      </c>
    </row>
    <row r="253" spans="1:26" x14ac:dyDescent="0.3">
      <c r="A253" s="53"/>
      <c r="B253" s="53"/>
      <c r="E253" s="151" t="s">
        <v>136</v>
      </c>
      <c r="F253" s="152">
        <v>30</v>
      </c>
      <c r="G253" s="152">
        <f>F253</f>
        <v>30</v>
      </c>
      <c r="J253" s="31">
        <v>98.36</v>
      </c>
      <c r="K253" s="3">
        <f>J253/380*F253</f>
        <v>7.7652631578947364</v>
      </c>
    </row>
    <row r="254" spans="1:26" x14ac:dyDescent="0.3">
      <c r="A254" s="53"/>
      <c r="B254" s="53"/>
      <c r="E254" s="153" t="s">
        <v>108</v>
      </c>
      <c r="F254" s="154" t="s">
        <v>109</v>
      </c>
      <c r="G254" s="155">
        <v>30</v>
      </c>
    </row>
    <row r="256" spans="1:26" x14ac:dyDescent="0.3">
      <c r="A256" s="53"/>
      <c r="B256" s="53"/>
      <c r="C256" s="51" t="s">
        <v>181</v>
      </c>
      <c r="D256" s="53">
        <v>170</v>
      </c>
      <c r="F256" s="283" t="s">
        <v>100</v>
      </c>
      <c r="G256" s="283"/>
      <c r="H256" s="283" t="s">
        <v>101</v>
      </c>
      <c r="I256" s="283"/>
      <c r="K256" s="115">
        <f>SUM(K257:K265)</f>
        <v>41.795110000000001</v>
      </c>
    </row>
    <row r="257" spans="1:11" x14ac:dyDescent="0.3">
      <c r="A257" s="53"/>
      <c r="B257" s="53"/>
      <c r="E257" s="61" t="s">
        <v>182</v>
      </c>
      <c r="F257" s="156">
        <f>134*H266/170</f>
        <v>134</v>
      </c>
      <c r="G257" s="157"/>
      <c r="H257" s="295">
        <f t="shared" ref="H257:H265" si="8">F257</f>
        <v>134</v>
      </c>
      <c r="I257" s="295"/>
      <c r="J257" s="3">
        <v>260</v>
      </c>
      <c r="K257" s="3">
        <f t="shared" ref="K257:K265" si="9">J257*F257/1000</f>
        <v>34.840000000000003</v>
      </c>
    </row>
    <row r="258" spans="1:11" x14ac:dyDescent="0.3">
      <c r="A258" s="53"/>
      <c r="B258" s="53"/>
      <c r="E258" s="64" t="s">
        <v>129</v>
      </c>
      <c r="F258" s="158">
        <f>18*H266/170</f>
        <v>18</v>
      </c>
      <c r="G258" s="159"/>
      <c r="H258" s="295">
        <f t="shared" si="8"/>
        <v>18</v>
      </c>
      <c r="I258" s="295"/>
      <c r="J258" s="3">
        <v>84</v>
      </c>
      <c r="K258" s="3">
        <f t="shared" si="9"/>
        <v>1.512</v>
      </c>
    </row>
    <row r="259" spans="1:11" x14ac:dyDescent="0.3">
      <c r="A259" s="53"/>
      <c r="B259" s="53"/>
      <c r="E259" s="64" t="s">
        <v>103</v>
      </c>
      <c r="F259" s="158">
        <f>40*H266/170</f>
        <v>40</v>
      </c>
      <c r="G259" s="159"/>
      <c r="H259" s="295">
        <f t="shared" si="8"/>
        <v>40</v>
      </c>
      <c r="I259" s="295"/>
      <c r="J259" s="3">
        <v>57.5</v>
      </c>
      <c r="K259" s="3">
        <f t="shared" si="9"/>
        <v>2.2999999999999998</v>
      </c>
    </row>
    <row r="260" spans="1:11" x14ac:dyDescent="0.3">
      <c r="A260" s="53"/>
      <c r="B260" s="53"/>
      <c r="E260" s="64" t="s">
        <v>140</v>
      </c>
      <c r="F260" s="158">
        <f>0.02*H266/170</f>
        <v>0.02</v>
      </c>
      <c r="G260" s="159"/>
      <c r="H260" s="295">
        <f t="shared" si="8"/>
        <v>0.02</v>
      </c>
      <c r="I260" s="295"/>
      <c r="J260" s="3">
        <v>1200</v>
      </c>
      <c r="K260" s="3">
        <f t="shared" si="9"/>
        <v>2.4E-2</v>
      </c>
    </row>
    <row r="261" spans="1:11" x14ac:dyDescent="0.3">
      <c r="A261" s="53"/>
      <c r="B261" s="53"/>
      <c r="E261" s="64" t="s">
        <v>154</v>
      </c>
      <c r="F261" s="158">
        <f>9*H266/170</f>
        <v>9</v>
      </c>
      <c r="G261" s="159"/>
      <c r="H261" s="295">
        <f t="shared" si="8"/>
        <v>9</v>
      </c>
      <c r="I261" s="295"/>
      <c r="J261" s="3">
        <v>140</v>
      </c>
      <c r="K261" s="3">
        <f t="shared" si="9"/>
        <v>1.26</v>
      </c>
    </row>
    <row r="262" spans="1:11" x14ac:dyDescent="0.3">
      <c r="A262" s="53"/>
      <c r="B262" s="53"/>
      <c r="E262" s="64" t="s">
        <v>107</v>
      </c>
      <c r="F262" s="158">
        <f>3*H266/170</f>
        <v>3</v>
      </c>
      <c r="G262" s="159"/>
      <c r="H262" s="295">
        <f t="shared" si="8"/>
        <v>3</v>
      </c>
      <c r="I262" s="295"/>
      <c r="J262" s="3">
        <v>72.27</v>
      </c>
      <c r="K262" s="3">
        <f t="shared" si="9"/>
        <v>0.21681</v>
      </c>
    </row>
    <row r="263" spans="1:11" x14ac:dyDescent="0.3">
      <c r="A263" s="53"/>
      <c r="B263" s="53"/>
      <c r="E263" s="64" t="s">
        <v>118</v>
      </c>
      <c r="F263" s="158">
        <f>1.5*H266/170</f>
        <v>1.5</v>
      </c>
      <c r="G263" s="159"/>
      <c r="H263" s="295">
        <f t="shared" si="8"/>
        <v>1.5</v>
      </c>
      <c r="I263" s="295"/>
      <c r="J263" s="3">
        <v>200</v>
      </c>
      <c r="K263" s="3">
        <f t="shared" si="9"/>
        <v>0.3</v>
      </c>
    </row>
    <row r="264" spans="1:11" x14ac:dyDescent="0.3">
      <c r="A264" s="53"/>
      <c r="B264" s="53"/>
      <c r="E264" s="64" t="s">
        <v>4</v>
      </c>
      <c r="F264" s="158">
        <f>2*H266/170</f>
        <v>2</v>
      </c>
      <c r="G264" s="159"/>
      <c r="H264" s="295">
        <f t="shared" si="8"/>
        <v>2</v>
      </c>
      <c r="I264" s="295"/>
      <c r="J264" s="3">
        <v>174</v>
      </c>
      <c r="K264" s="3">
        <f t="shared" si="9"/>
        <v>0.34799999999999998</v>
      </c>
    </row>
    <row r="265" spans="1:11" x14ac:dyDescent="0.3">
      <c r="A265" s="53"/>
      <c r="B265" s="53"/>
      <c r="E265" s="64" t="s">
        <v>105</v>
      </c>
      <c r="F265" s="160">
        <f>2*H266/170</f>
        <v>2</v>
      </c>
      <c r="G265" s="161"/>
      <c r="H265" s="295">
        <f t="shared" si="8"/>
        <v>2</v>
      </c>
      <c r="I265" s="295"/>
      <c r="J265" s="3">
        <v>497.15</v>
      </c>
      <c r="K265" s="3">
        <f t="shared" si="9"/>
        <v>0.99429999999999996</v>
      </c>
    </row>
    <row r="266" spans="1:11" x14ac:dyDescent="0.3">
      <c r="A266" s="53"/>
      <c r="B266" s="53"/>
      <c r="E266" s="70" t="s">
        <v>108</v>
      </c>
      <c r="F266" s="117" t="s">
        <v>109</v>
      </c>
      <c r="G266" s="118"/>
      <c r="H266" s="282">
        <v>170</v>
      </c>
      <c r="I266" s="282"/>
    </row>
    <row r="268" spans="1:11" x14ac:dyDescent="0.3">
      <c r="C268" s="51" t="s">
        <v>141</v>
      </c>
      <c r="D268" s="53">
        <v>200</v>
      </c>
      <c r="F268" s="136" t="s">
        <v>100</v>
      </c>
      <c r="G268" s="137"/>
      <c r="H268" s="283" t="s">
        <v>101</v>
      </c>
      <c r="I268" s="283"/>
      <c r="K268" s="139">
        <f>K269+K270</f>
        <v>1.4740500000000001</v>
      </c>
    </row>
    <row r="269" spans="1:11" x14ac:dyDescent="0.3">
      <c r="E269" s="61" t="s">
        <v>8</v>
      </c>
      <c r="F269" s="62">
        <v>0.6</v>
      </c>
      <c r="G269" s="63"/>
      <c r="H269" s="279">
        <v>0.6</v>
      </c>
      <c r="I269" s="279"/>
      <c r="J269" s="3">
        <v>650</v>
      </c>
      <c r="K269" s="3">
        <f>J269*F269/1000</f>
        <v>0.39</v>
      </c>
    </row>
    <row r="270" spans="1:11" x14ac:dyDescent="0.3">
      <c r="E270" s="64" t="s">
        <v>107</v>
      </c>
      <c r="F270" s="67">
        <v>15</v>
      </c>
      <c r="G270" s="68"/>
      <c r="H270" s="280">
        <v>15</v>
      </c>
      <c r="I270" s="281"/>
      <c r="J270" s="3">
        <v>72.27</v>
      </c>
      <c r="K270" s="3">
        <f>J270*F270/1000</f>
        <v>1.08405</v>
      </c>
    </row>
    <row r="271" spans="1:11" x14ac:dyDescent="0.3">
      <c r="E271" s="70" t="s">
        <v>108</v>
      </c>
      <c r="F271" s="117" t="s">
        <v>109</v>
      </c>
      <c r="G271" s="118"/>
      <c r="H271" s="282">
        <v>200</v>
      </c>
      <c r="I271" s="282"/>
    </row>
    <row r="272" spans="1:11" x14ac:dyDescent="0.3">
      <c r="E272" s="70"/>
      <c r="F272" s="286"/>
      <c r="G272" s="286"/>
      <c r="H272" s="286"/>
      <c r="I272" s="286"/>
    </row>
    <row r="274" spans="1:26" x14ac:dyDescent="0.3">
      <c r="C274" s="51" t="s">
        <v>142</v>
      </c>
      <c r="D274" s="53">
        <v>40</v>
      </c>
      <c r="J274" s="3">
        <v>59.55</v>
      </c>
      <c r="K274" s="115">
        <f>D274*J274/1000</f>
        <v>2.3820000000000001</v>
      </c>
    </row>
    <row r="275" spans="1:26" ht="16.2" thickBot="1" x14ac:dyDescent="0.35">
      <c r="A275" s="81"/>
      <c r="B275" s="81"/>
      <c r="C275" s="81"/>
      <c r="D275" s="82"/>
      <c r="E275" s="82"/>
      <c r="F275" s="82"/>
      <c r="G275" s="82"/>
      <c r="H275" s="82"/>
      <c r="I275" s="82"/>
      <c r="J275" s="83"/>
      <c r="K275" s="83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spans="1:26" x14ac:dyDescent="0.3">
      <c r="A276" s="51">
        <v>9</v>
      </c>
      <c r="B276" s="51" t="s">
        <v>71</v>
      </c>
      <c r="C276" s="51" t="s">
        <v>337</v>
      </c>
      <c r="D276" s="53">
        <v>40</v>
      </c>
      <c r="F276" s="53">
        <v>42</v>
      </c>
      <c r="J276" s="3">
        <v>100</v>
      </c>
      <c r="K276" s="164">
        <f>J276*F276/1000</f>
        <v>4.2</v>
      </c>
    </row>
    <row r="277" spans="1:26" x14ac:dyDescent="0.3">
      <c r="B277" s="162">
        <f>+K276+K278+K303+K309+K311+K318</f>
        <v>68.61181400000001</v>
      </c>
    </row>
    <row r="278" spans="1:26" x14ac:dyDescent="0.3">
      <c r="B278" s="51">
        <f>D276+D278+D303+D309+D311+D318</f>
        <v>630</v>
      </c>
      <c r="C278" s="53" t="s">
        <v>183</v>
      </c>
      <c r="D278" s="53">
        <v>100</v>
      </c>
      <c r="F278" s="294" t="s">
        <v>100</v>
      </c>
      <c r="G278" s="283"/>
      <c r="H278" s="294" t="s">
        <v>101</v>
      </c>
      <c r="I278" s="283"/>
      <c r="K278" s="164">
        <f>SUM(K279:K298)</f>
        <v>42.517613999999995</v>
      </c>
    </row>
    <row r="279" spans="1:26" x14ac:dyDescent="0.3">
      <c r="B279" s="163"/>
      <c r="E279" s="91" t="s">
        <v>115</v>
      </c>
      <c r="F279" s="91">
        <v>69.400000000000006</v>
      </c>
      <c r="G279" s="92"/>
      <c r="H279" s="291">
        <v>50.7</v>
      </c>
      <c r="I279" s="291"/>
      <c r="J279" s="3">
        <v>548</v>
      </c>
      <c r="K279" s="3">
        <f>F279*J279/1000</f>
        <v>38.031200000000005</v>
      </c>
    </row>
    <row r="280" spans="1:26" x14ac:dyDescent="0.3">
      <c r="A280" s="53"/>
      <c r="B280" s="53"/>
      <c r="E280" s="91" t="s">
        <v>103</v>
      </c>
      <c r="F280" s="91">
        <v>16</v>
      </c>
      <c r="G280" s="92"/>
      <c r="H280" s="291">
        <v>16</v>
      </c>
      <c r="I280" s="291"/>
      <c r="J280" s="3">
        <v>57.5</v>
      </c>
      <c r="K280" s="3">
        <f>F280*J280/1000</f>
        <v>0.92</v>
      </c>
    </row>
    <row r="281" spans="1:26" x14ac:dyDescent="0.3">
      <c r="A281" s="53"/>
      <c r="B281" s="53"/>
      <c r="E281" s="91" t="s">
        <v>117</v>
      </c>
      <c r="F281" s="91">
        <v>11</v>
      </c>
      <c r="G281" s="92"/>
      <c r="H281" s="291">
        <v>11</v>
      </c>
      <c r="I281" s="291"/>
      <c r="J281" s="3">
        <v>50.09</v>
      </c>
      <c r="K281" s="3">
        <f>F281*J281/1000</f>
        <v>0.55098999999999998</v>
      </c>
    </row>
    <row r="282" spans="1:26" x14ac:dyDescent="0.3">
      <c r="A282" s="53"/>
      <c r="B282" s="53"/>
      <c r="E282" s="91" t="s">
        <v>44</v>
      </c>
      <c r="F282" s="91">
        <v>31</v>
      </c>
      <c r="G282" s="92"/>
      <c r="H282" s="291">
        <v>26</v>
      </c>
      <c r="I282" s="291"/>
      <c r="J282" s="3">
        <v>20</v>
      </c>
      <c r="K282" s="3">
        <f>F282*J282/1000</f>
        <v>0.62</v>
      </c>
    </row>
    <row r="283" spans="1:26" x14ac:dyDescent="0.3">
      <c r="A283" s="53"/>
      <c r="B283" s="53"/>
      <c r="E283" s="91" t="s">
        <v>5</v>
      </c>
      <c r="F283" s="91">
        <v>4</v>
      </c>
      <c r="G283" s="92"/>
      <c r="H283" s="291">
        <v>4</v>
      </c>
      <c r="I283" s="291"/>
      <c r="J283" s="3">
        <v>152</v>
      </c>
      <c r="K283" s="3">
        <f>F283*J283/1000</f>
        <v>0.60799999999999998</v>
      </c>
    </row>
    <row r="284" spans="1:26" x14ac:dyDescent="0.3">
      <c r="A284" s="53"/>
      <c r="B284" s="53"/>
      <c r="E284" s="91" t="s">
        <v>184</v>
      </c>
      <c r="F284" s="91" t="s">
        <v>109</v>
      </c>
      <c r="G284" s="92"/>
      <c r="H284" s="291">
        <v>13</v>
      </c>
      <c r="I284" s="291"/>
    </row>
    <row r="285" spans="1:26" x14ac:dyDescent="0.3">
      <c r="A285" s="53"/>
      <c r="B285" s="53"/>
      <c r="E285" s="91" t="s">
        <v>185</v>
      </c>
      <c r="F285" s="91" t="s">
        <v>109</v>
      </c>
      <c r="G285" s="92"/>
      <c r="H285" s="291">
        <v>80</v>
      </c>
      <c r="I285" s="291"/>
    </row>
    <row r="286" spans="1:26" x14ac:dyDescent="0.3">
      <c r="A286" s="53"/>
      <c r="B286" s="53"/>
      <c r="E286" s="91" t="s">
        <v>34</v>
      </c>
      <c r="F286" s="91">
        <v>5.3</v>
      </c>
      <c r="G286" s="92"/>
      <c r="H286" s="291">
        <v>5.3</v>
      </c>
      <c r="I286" s="291"/>
      <c r="J286" s="3">
        <v>37</v>
      </c>
      <c r="K286" s="3">
        <f>F286*J286/1000</f>
        <v>0.1961</v>
      </c>
    </row>
    <row r="287" spans="1:26" x14ac:dyDescent="0.3">
      <c r="A287" s="53"/>
      <c r="B287" s="53"/>
      <c r="E287" s="91" t="s">
        <v>124</v>
      </c>
      <c r="F287" s="91">
        <v>0.35</v>
      </c>
      <c r="G287" s="92"/>
      <c r="H287" s="291">
        <v>0.35</v>
      </c>
      <c r="I287" s="291"/>
      <c r="J287" s="3">
        <v>17</v>
      </c>
      <c r="K287" s="3">
        <f>F287*J287/1000</f>
        <v>5.9499999999999996E-3</v>
      </c>
    </row>
    <row r="288" spans="1:26" x14ac:dyDescent="0.3">
      <c r="A288" s="53"/>
      <c r="B288" s="53"/>
      <c r="E288" s="91" t="s">
        <v>119</v>
      </c>
      <c r="F288" s="91" t="s">
        <v>109</v>
      </c>
      <c r="G288" s="92"/>
      <c r="H288" s="291">
        <v>95</v>
      </c>
      <c r="I288" s="291"/>
    </row>
    <row r="289" spans="1:11" x14ac:dyDescent="0.3">
      <c r="A289" s="53"/>
      <c r="B289" s="53"/>
      <c r="E289" s="91" t="s">
        <v>5</v>
      </c>
      <c r="F289" s="91">
        <v>4</v>
      </c>
      <c r="G289" s="92"/>
      <c r="H289" s="291">
        <v>4</v>
      </c>
      <c r="I289" s="291"/>
      <c r="J289" s="3">
        <v>152</v>
      </c>
      <c r="K289" s="3">
        <f t="shared" ref="K289:K298" si="10">F289*J289/1000</f>
        <v>0.60799999999999998</v>
      </c>
    </row>
    <row r="290" spans="1:11" x14ac:dyDescent="0.3">
      <c r="A290" s="53"/>
      <c r="B290" s="53"/>
      <c r="E290" s="91" t="s">
        <v>123</v>
      </c>
      <c r="F290" s="91">
        <v>18</v>
      </c>
      <c r="G290" s="92"/>
      <c r="H290" s="291">
        <v>18</v>
      </c>
      <c r="I290" s="291"/>
      <c r="K290" s="3">
        <f t="shared" si="10"/>
        <v>0</v>
      </c>
    </row>
    <row r="291" spans="1:11" x14ac:dyDescent="0.3">
      <c r="A291" s="53"/>
      <c r="B291" s="53"/>
      <c r="E291" s="91" t="s">
        <v>105</v>
      </c>
      <c r="F291" s="91">
        <v>0.9</v>
      </c>
      <c r="G291" s="92"/>
      <c r="H291" s="291">
        <v>0.9</v>
      </c>
      <c r="I291" s="291"/>
      <c r="J291" s="3">
        <v>497.15</v>
      </c>
      <c r="K291" s="3">
        <f t="shared" si="10"/>
        <v>0.44743500000000003</v>
      </c>
    </row>
    <row r="292" spans="1:11" x14ac:dyDescent="0.3">
      <c r="A292" s="53"/>
      <c r="B292" s="53"/>
      <c r="E292" s="91" t="s">
        <v>34</v>
      </c>
      <c r="F292" s="91">
        <v>0.9</v>
      </c>
      <c r="G292" s="92"/>
      <c r="H292" s="291">
        <v>0.9</v>
      </c>
      <c r="I292" s="291"/>
      <c r="J292" s="3">
        <v>37</v>
      </c>
      <c r="K292" s="3">
        <f t="shared" si="10"/>
        <v>3.3300000000000003E-2</v>
      </c>
    </row>
    <row r="293" spans="1:11" x14ac:dyDescent="0.3">
      <c r="A293" s="53"/>
      <c r="B293" s="53"/>
      <c r="E293" s="91" t="s">
        <v>45</v>
      </c>
      <c r="F293" s="91">
        <v>1.5</v>
      </c>
      <c r="G293" s="92"/>
      <c r="H293" s="291">
        <v>1.2</v>
      </c>
      <c r="I293" s="291"/>
      <c r="J293" s="3">
        <v>30</v>
      </c>
      <c r="K293" s="3">
        <f t="shared" si="10"/>
        <v>4.4999999999999998E-2</v>
      </c>
    </row>
    <row r="294" spans="1:11" x14ac:dyDescent="0.3">
      <c r="A294" s="53"/>
      <c r="B294" s="53"/>
      <c r="E294" s="91" t="s">
        <v>44</v>
      </c>
      <c r="F294" s="91">
        <v>0.5</v>
      </c>
      <c r="G294" s="92"/>
      <c r="H294" s="291">
        <v>0.4</v>
      </c>
      <c r="I294" s="291"/>
      <c r="J294" s="3">
        <v>20</v>
      </c>
      <c r="K294" s="3">
        <f t="shared" si="10"/>
        <v>0.01</v>
      </c>
    </row>
    <row r="295" spans="1:11" x14ac:dyDescent="0.3">
      <c r="A295" s="53"/>
      <c r="B295" s="53"/>
      <c r="E295" s="91" t="s">
        <v>126</v>
      </c>
      <c r="F295" s="91">
        <v>2</v>
      </c>
      <c r="G295" s="92"/>
      <c r="H295" s="291">
        <v>2</v>
      </c>
      <c r="I295" s="291"/>
      <c r="J295" s="3">
        <v>138</v>
      </c>
      <c r="K295" s="3">
        <f t="shared" si="10"/>
        <v>0.27600000000000002</v>
      </c>
    </row>
    <row r="296" spans="1:11" x14ac:dyDescent="0.3">
      <c r="A296" s="53"/>
      <c r="B296" s="53"/>
      <c r="E296" s="91" t="s">
        <v>105</v>
      </c>
      <c r="F296" s="91">
        <v>0.3</v>
      </c>
      <c r="G296" s="92"/>
      <c r="H296" s="291">
        <v>0.3</v>
      </c>
      <c r="I296" s="291"/>
      <c r="J296" s="3">
        <v>497.15</v>
      </c>
      <c r="K296" s="3">
        <f t="shared" si="10"/>
        <v>0.14914499999999997</v>
      </c>
    </row>
    <row r="297" spans="1:11" x14ac:dyDescent="0.3">
      <c r="A297" s="53"/>
      <c r="B297" s="53"/>
      <c r="E297" s="91" t="s">
        <v>125</v>
      </c>
      <c r="F297" s="91">
        <v>0.2</v>
      </c>
      <c r="G297" s="92"/>
      <c r="H297" s="291">
        <v>0.2</v>
      </c>
      <c r="I297" s="291"/>
      <c r="J297" s="3">
        <v>72.27</v>
      </c>
      <c r="K297" s="3">
        <f t="shared" si="10"/>
        <v>1.4454E-2</v>
      </c>
    </row>
    <row r="298" spans="1:11" x14ac:dyDescent="0.3">
      <c r="A298" s="53"/>
      <c r="B298" s="53"/>
      <c r="E298" s="91" t="s">
        <v>124</v>
      </c>
      <c r="F298" s="91">
        <v>0.12</v>
      </c>
      <c r="G298" s="92"/>
      <c r="H298" s="291">
        <v>0.12</v>
      </c>
      <c r="I298" s="291"/>
      <c r="J298" s="3">
        <v>17</v>
      </c>
      <c r="K298" s="3">
        <f t="shared" si="10"/>
        <v>2.0400000000000001E-3</v>
      </c>
    </row>
    <row r="299" spans="1:11" x14ac:dyDescent="0.3">
      <c r="A299" s="53"/>
      <c r="B299" s="53"/>
      <c r="E299" s="91" t="s">
        <v>104</v>
      </c>
      <c r="F299" s="91">
        <v>20</v>
      </c>
      <c r="G299" s="92"/>
      <c r="H299" s="291">
        <v>20</v>
      </c>
      <c r="I299" s="291"/>
    </row>
    <row r="300" spans="1:11" x14ac:dyDescent="0.3">
      <c r="A300" s="53"/>
      <c r="B300" s="53"/>
      <c r="E300" s="91" t="s">
        <v>186</v>
      </c>
      <c r="F300" s="291" t="s">
        <v>109</v>
      </c>
      <c r="G300" s="291"/>
      <c r="H300" s="291">
        <v>20</v>
      </c>
      <c r="I300" s="291"/>
    </row>
    <row r="301" spans="1:11" x14ac:dyDescent="0.3">
      <c r="A301" s="53"/>
      <c r="B301" s="53"/>
      <c r="E301" s="97" t="s">
        <v>127</v>
      </c>
      <c r="F301" s="292">
        <v>100</v>
      </c>
      <c r="G301" s="293"/>
      <c r="H301" s="293"/>
      <c r="I301" s="293"/>
    </row>
    <row r="303" spans="1:11" x14ac:dyDescent="0.3">
      <c r="A303" s="53"/>
      <c r="B303" s="53"/>
      <c r="C303" s="51" t="s">
        <v>148</v>
      </c>
      <c r="D303" s="53">
        <v>150</v>
      </c>
      <c r="F303" s="283" t="s">
        <v>100</v>
      </c>
      <c r="G303" s="283"/>
      <c r="H303" s="283" t="s">
        <v>101</v>
      </c>
      <c r="I303" s="283"/>
      <c r="K303" s="164">
        <f>SUM(K304:K306)</f>
        <v>4.8765499999999999</v>
      </c>
    </row>
    <row r="304" spans="1:11" x14ac:dyDescent="0.3">
      <c r="A304" s="53"/>
      <c r="B304" s="53"/>
      <c r="E304" s="61" t="s">
        <v>13</v>
      </c>
      <c r="F304" s="62">
        <v>52</v>
      </c>
      <c r="G304" s="63"/>
      <c r="H304" s="279">
        <v>52</v>
      </c>
      <c r="I304" s="279"/>
      <c r="J304" s="3">
        <v>65</v>
      </c>
      <c r="K304" s="3">
        <f>F304*J304/1000</f>
        <v>3.38</v>
      </c>
    </row>
    <row r="305" spans="1:24" x14ac:dyDescent="0.3">
      <c r="A305" s="53"/>
      <c r="B305" s="53"/>
      <c r="E305" s="61" t="s">
        <v>106</v>
      </c>
      <c r="F305" s="65">
        <v>0.3</v>
      </c>
      <c r="G305" s="66"/>
      <c r="H305" s="279">
        <v>0.3</v>
      </c>
      <c r="I305" s="279"/>
      <c r="J305" s="3">
        <v>17</v>
      </c>
      <c r="K305" s="3">
        <f>F305*J305/1000</f>
        <v>5.0999999999999995E-3</v>
      </c>
    </row>
    <row r="306" spans="1:24" x14ac:dyDescent="0.3">
      <c r="A306" s="53"/>
      <c r="B306" s="53"/>
      <c r="E306" s="61" t="s">
        <v>105</v>
      </c>
      <c r="F306" s="67">
        <v>3</v>
      </c>
      <c r="G306" s="68"/>
      <c r="H306" s="279">
        <v>3</v>
      </c>
      <c r="I306" s="279"/>
      <c r="J306" s="3">
        <v>497.15</v>
      </c>
      <c r="K306" s="3">
        <f>F306*J306/1000</f>
        <v>1.4914499999999997</v>
      </c>
    </row>
    <row r="307" spans="1:24" x14ac:dyDescent="0.3">
      <c r="A307" s="53"/>
      <c r="B307" s="53"/>
      <c r="E307" s="70" t="s">
        <v>108</v>
      </c>
      <c r="F307" s="117" t="s">
        <v>109</v>
      </c>
      <c r="G307" s="118"/>
      <c r="H307" s="282">
        <v>150</v>
      </c>
      <c r="I307" s="282"/>
    </row>
    <row r="309" spans="1:24" x14ac:dyDescent="0.3">
      <c r="A309" s="53"/>
      <c r="B309" s="53"/>
      <c r="C309" s="51" t="s">
        <v>94</v>
      </c>
      <c r="D309" s="53">
        <v>100</v>
      </c>
      <c r="J309" s="3">
        <v>65</v>
      </c>
      <c r="K309" s="165">
        <f>J309*D309/1000</f>
        <v>6.5</v>
      </c>
    </row>
    <row r="311" spans="1:24" x14ac:dyDescent="0.3">
      <c r="A311" s="53"/>
      <c r="B311" s="53"/>
      <c r="C311" s="51" t="s">
        <v>130</v>
      </c>
      <c r="D311" s="53">
        <v>200</v>
      </c>
      <c r="F311" s="283" t="s">
        <v>100</v>
      </c>
      <c r="G311" s="283"/>
      <c r="H311" s="283" t="s">
        <v>101</v>
      </c>
      <c r="I311" s="283"/>
      <c r="K311" s="164">
        <f>SUM(K312:K315)</f>
        <v>8.514050000000001</v>
      </c>
    </row>
    <row r="312" spans="1:24" x14ac:dyDescent="0.3">
      <c r="A312" s="53"/>
      <c r="B312" s="53"/>
      <c r="E312" s="61" t="s">
        <v>131</v>
      </c>
      <c r="F312" s="62">
        <v>4</v>
      </c>
      <c r="G312" s="63"/>
      <c r="H312" s="279">
        <v>4</v>
      </c>
      <c r="I312" s="279"/>
      <c r="J312" s="3">
        <v>420</v>
      </c>
      <c r="K312" s="3">
        <f>J312*F312/1000</f>
        <v>1.68</v>
      </c>
    </row>
    <row r="313" spans="1:24" x14ac:dyDescent="0.3">
      <c r="A313" s="53"/>
      <c r="B313" s="53"/>
      <c r="E313" s="64" t="s">
        <v>107</v>
      </c>
      <c r="F313" s="65">
        <v>15</v>
      </c>
      <c r="G313" s="66"/>
      <c r="H313" s="280">
        <v>15</v>
      </c>
      <c r="I313" s="281"/>
      <c r="J313" s="3">
        <v>72.27</v>
      </c>
      <c r="K313" s="3">
        <f>J313*F313/1000</f>
        <v>1.08405</v>
      </c>
    </row>
    <row r="314" spans="1:24" x14ac:dyDescent="0.3">
      <c r="A314" s="53"/>
      <c r="B314" s="53"/>
      <c r="E314" s="64" t="s">
        <v>65</v>
      </c>
      <c r="F314" s="65">
        <v>100</v>
      </c>
      <c r="G314" s="66"/>
      <c r="H314" s="280">
        <v>100</v>
      </c>
      <c r="I314" s="281"/>
      <c r="J314" s="3">
        <v>57.5</v>
      </c>
      <c r="K314" s="3">
        <f>J314*F314/1000</f>
        <v>5.75</v>
      </c>
    </row>
    <row r="315" spans="1:24" x14ac:dyDescent="0.3">
      <c r="A315" s="53"/>
      <c r="B315" s="53"/>
      <c r="E315" s="64" t="s">
        <v>104</v>
      </c>
      <c r="F315" s="67">
        <v>81</v>
      </c>
      <c r="G315" s="68"/>
      <c r="H315" s="280">
        <v>81</v>
      </c>
      <c r="I315" s="281"/>
      <c r="J315" s="3">
        <v>0</v>
      </c>
      <c r="K315" s="3">
        <f>J315*F315/1000</f>
        <v>0</v>
      </c>
    </row>
    <row r="316" spans="1:24" x14ac:dyDescent="0.3">
      <c r="A316" s="53"/>
      <c r="B316" s="53"/>
      <c r="E316" s="70" t="s">
        <v>108</v>
      </c>
      <c r="F316" s="286" t="s">
        <v>109</v>
      </c>
      <c r="G316" s="286"/>
      <c r="H316" s="282">
        <v>200</v>
      </c>
      <c r="I316" s="282"/>
    </row>
    <row r="318" spans="1:24" x14ac:dyDescent="0.3">
      <c r="A318" s="53"/>
      <c r="B318" s="53"/>
      <c r="C318" s="51" t="s">
        <v>112</v>
      </c>
      <c r="D318" s="53">
        <v>40</v>
      </c>
      <c r="J318" s="3">
        <v>50.09</v>
      </c>
      <c r="K318" s="164">
        <f>D318*J318/1000</f>
        <v>2.0036</v>
      </c>
    </row>
    <row r="319" spans="1:24" ht="16.2" thickBot="1" x14ac:dyDescent="0.35">
      <c r="A319" s="81"/>
      <c r="B319" s="81"/>
      <c r="C319" s="81"/>
      <c r="D319" s="82"/>
      <c r="E319" s="82"/>
      <c r="F319" s="82"/>
      <c r="G319" s="82"/>
      <c r="H319" s="82"/>
      <c r="I319" s="82"/>
      <c r="J319" s="83"/>
      <c r="K319" s="83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</row>
    <row r="320" spans="1:24" x14ac:dyDescent="0.3">
      <c r="A320" s="166">
        <v>10</v>
      </c>
      <c r="B320" s="51">
        <f>K327+K329+K338+K340+K345+K323</f>
        <v>52.800750999999991</v>
      </c>
      <c r="C320" s="167"/>
      <c r="D320" s="168"/>
      <c r="E320" s="168"/>
      <c r="F320" s="168"/>
      <c r="G320" s="168"/>
      <c r="H320" s="168"/>
      <c r="I320" s="168"/>
      <c r="J320" s="89"/>
      <c r="K320" s="89"/>
    </row>
    <row r="321" spans="2:11" x14ac:dyDescent="0.3">
      <c r="B321" s="51">
        <f>D327+D329+D338+D340+D345+D323</f>
        <v>500</v>
      </c>
      <c r="E321" s="61"/>
      <c r="F321" s="133"/>
      <c r="G321" s="134"/>
      <c r="H321" s="279"/>
      <c r="I321" s="279"/>
      <c r="J321" s="89"/>
      <c r="K321" s="89"/>
    </row>
    <row r="322" spans="2:11" x14ac:dyDescent="0.3">
      <c r="C322" s="167"/>
      <c r="D322" s="168"/>
      <c r="E322" s="169"/>
      <c r="F322" s="287"/>
      <c r="G322" s="288"/>
      <c r="H322" s="168"/>
      <c r="I322" s="168"/>
      <c r="J322" s="89"/>
      <c r="K322" s="89"/>
    </row>
    <row r="323" spans="2:11" x14ac:dyDescent="0.3">
      <c r="C323" s="86" t="s">
        <v>337</v>
      </c>
      <c r="D323" s="87">
        <v>40</v>
      </c>
      <c r="E323" s="87"/>
      <c r="F323" s="87">
        <v>42</v>
      </c>
      <c r="G323" s="87"/>
      <c r="H323" s="87"/>
      <c r="I323" s="87"/>
      <c r="J323" s="31">
        <v>100</v>
      </c>
      <c r="K323" s="88">
        <f>J323*F323/1000</f>
        <v>4.2</v>
      </c>
    </row>
    <row r="324" spans="2:11" x14ac:dyDescent="0.3">
      <c r="C324" s="167"/>
      <c r="D324" s="168"/>
      <c r="E324" s="169"/>
      <c r="F324" s="289"/>
      <c r="G324" s="290"/>
      <c r="H324" s="168"/>
      <c r="I324" s="168"/>
      <c r="J324" s="89"/>
      <c r="K324" s="89"/>
    </row>
    <row r="325" spans="2:11" x14ac:dyDescent="0.3">
      <c r="C325" s="167"/>
      <c r="D325" s="168"/>
      <c r="E325" s="168"/>
      <c r="F325" s="170"/>
      <c r="G325" s="170"/>
      <c r="H325" s="170"/>
      <c r="I325" s="170"/>
      <c r="J325" s="89"/>
      <c r="K325" s="89"/>
    </row>
    <row r="327" spans="2:11" x14ac:dyDescent="0.3">
      <c r="C327" s="51" t="s">
        <v>169</v>
      </c>
      <c r="D327" s="53">
        <v>20</v>
      </c>
      <c r="E327" s="61" t="s">
        <v>170</v>
      </c>
      <c r="F327" s="133">
        <v>21</v>
      </c>
      <c r="G327" s="134"/>
      <c r="H327" s="279">
        <v>20</v>
      </c>
      <c r="I327" s="279"/>
      <c r="J327" s="3">
        <v>498</v>
      </c>
      <c r="K327" s="135">
        <f>F327*J327/1000</f>
        <v>10.458</v>
      </c>
    </row>
    <row r="329" spans="2:11" x14ac:dyDescent="0.3">
      <c r="C329" s="51" t="s">
        <v>153</v>
      </c>
      <c r="D329" s="53">
        <v>200</v>
      </c>
      <c r="F329" s="283" t="s">
        <v>100</v>
      </c>
      <c r="G329" s="283"/>
      <c r="H329" s="283" t="s">
        <v>101</v>
      </c>
      <c r="I329" s="283"/>
      <c r="K329" s="122">
        <f>SUM(K330:K335)</f>
        <v>34.286700999999994</v>
      </c>
    </row>
    <row r="330" spans="2:11" x14ac:dyDescent="0.3">
      <c r="E330" s="61" t="s">
        <v>154</v>
      </c>
      <c r="F330" s="62">
        <v>137.94</v>
      </c>
      <c r="G330" s="63"/>
      <c r="H330" s="279">
        <f t="shared" ref="H330:H334" si="11">F330</f>
        <v>137.94</v>
      </c>
      <c r="I330" s="279"/>
      <c r="J330" s="3">
        <v>140</v>
      </c>
      <c r="K330" s="3">
        <f t="shared" ref="K330:K335" si="12">F330*J330/1000</f>
        <v>19.311599999999999</v>
      </c>
    </row>
    <row r="331" spans="2:11" x14ac:dyDescent="0.3">
      <c r="E331" s="64" t="s">
        <v>103</v>
      </c>
      <c r="F331" s="65">
        <v>51.72</v>
      </c>
      <c r="G331" s="66"/>
      <c r="H331" s="279">
        <f t="shared" si="11"/>
        <v>51.72</v>
      </c>
      <c r="I331" s="279"/>
      <c r="J331" s="3">
        <v>57.5</v>
      </c>
      <c r="K331" s="3">
        <f t="shared" si="12"/>
        <v>2.9739</v>
      </c>
    </row>
    <row r="332" spans="2:11" x14ac:dyDescent="0.3">
      <c r="E332" s="64" t="s">
        <v>105</v>
      </c>
      <c r="F332" s="65">
        <v>6.9</v>
      </c>
      <c r="G332" s="66"/>
      <c r="H332" s="279">
        <f t="shared" si="11"/>
        <v>6.9</v>
      </c>
      <c r="I332" s="279"/>
      <c r="J332" s="3">
        <v>497.15</v>
      </c>
      <c r="K332" s="3">
        <f t="shared" si="12"/>
        <v>3.4303349999999999</v>
      </c>
    </row>
    <row r="333" spans="2:11" x14ac:dyDescent="0.3">
      <c r="E333" s="64" t="s">
        <v>116</v>
      </c>
      <c r="F333" s="65">
        <v>51.72</v>
      </c>
      <c r="G333" s="66"/>
      <c r="H333" s="279">
        <f t="shared" si="11"/>
        <v>51.72</v>
      </c>
      <c r="I333" s="279"/>
      <c r="K333" s="3">
        <f t="shared" si="12"/>
        <v>0</v>
      </c>
    </row>
    <row r="334" spans="2:11" x14ac:dyDescent="0.3">
      <c r="E334" s="64" t="s">
        <v>105</v>
      </c>
      <c r="F334" s="125">
        <v>17.239999999999998</v>
      </c>
      <c r="G334" s="126"/>
      <c r="H334" s="279">
        <f t="shared" si="11"/>
        <v>17.239999999999998</v>
      </c>
      <c r="I334" s="279"/>
      <c r="J334" s="3">
        <v>497.15</v>
      </c>
      <c r="K334" s="3">
        <f t="shared" si="12"/>
        <v>8.5708659999999988</v>
      </c>
    </row>
    <row r="335" spans="2:11" x14ac:dyDescent="0.3">
      <c r="E335" s="61"/>
      <c r="F335" s="279"/>
      <c r="G335" s="279"/>
      <c r="H335" s="279"/>
      <c r="I335" s="279"/>
      <c r="K335" s="3">
        <f t="shared" si="12"/>
        <v>0</v>
      </c>
    </row>
    <row r="336" spans="2:11" x14ac:dyDescent="0.3">
      <c r="E336" s="70" t="s">
        <v>108</v>
      </c>
      <c r="F336" s="286" t="s">
        <v>109</v>
      </c>
      <c r="G336" s="286"/>
      <c r="H336" s="282">
        <v>200</v>
      </c>
      <c r="I336" s="282"/>
    </row>
    <row r="338" spans="1:26" x14ac:dyDescent="0.3">
      <c r="A338" s="53"/>
      <c r="B338" s="53"/>
      <c r="E338" s="61"/>
      <c r="F338" s="279"/>
      <c r="G338" s="279"/>
      <c r="H338" s="279"/>
      <c r="I338" s="279"/>
      <c r="K338" s="135"/>
    </row>
    <row r="340" spans="1:26" x14ac:dyDescent="0.3">
      <c r="A340" s="53"/>
      <c r="B340" s="53"/>
      <c r="C340" s="51" t="s">
        <v>141</v>
      </c>
      <c r="D340" s="53">
        <v>200</v>
      </c>
      <c r="F340" s="283" t="s">
        <v>100</v>
      </c>
      <c r="G340" s="283"/>
      <c r="H340" s="283" t="s">
        <v>101</v>
      </c>
      <c r="I340" s="283"/>
      <c r="K340" s="122">
        <f>K341+K342</f>
        <v>1.4740500000000001</v>
      </c>
    </row>
    <row r="341" spans="1:26" x14ac:dyDescent="0.3">
      <c r="A341" s="53"/>
      <c r="B341" s="53"/>
      <c r="E341" s="61" t="s">
        <v>8</v>
      </c>
      <c r="F341" s="62">
        <v>0.6</v>
      </c>
      <c r="G341" s="63"/>
      <c r="H341" s="279">
        <v>0.6</v>
      </c>
      <c r="I341" s="279"/>
      <c r="J341" s="3">
        <v>650</v>
      </c>
      <c r="K341" s="3">
        <f>J341*F341/1000</f>
        <v>0.39</v>
      </c>
    </row>
    <row r="342" spans="1:26" x14ac:dyDescent="0.3">
      <c r="A342" s="53"/>
      <c r="B342" s="53"/>
      <c r="E342" s="64" t="s">
        <v>107</v>
      </c>
      <c r="F342" s="67">
        <v>15</v>
      </c>
      <c r="G342" s="68"/>
      <c r="H342" s="280">
        <v>15</v>
      </c>
      <c r="I342" s="281"/>
      <c r="J342" s="3">
        <v>72.27</v>
      </c>
      <c r="K342" s="3">
        <f>J342*F342/1000</f>
        <v>1.08405</v>
      </c>
    </row>
    <row r="343" spans="1:26" x14ac:dyDescent="0.3">
      <c r="A343" s="53"/>
      <c r="B343" s="53"/>
      <c r="E343" s="70" t="s">
        <v>108</v>
      </c>
      <c r="F343" s="117" t="s">
        <v>109</v>
      </c>
      <c r="G343" s="118"/>
      <c r="H343" s="282">
        <v>200</v>
      </c>
      <c r="I343" s="282"/>
    </row>
    <row r="345" spans="1:26" ht="16.2" thickBot="1" x14ac:dyDescent="0.35">
      <c r="A345" s="82"/>
      <c r="B345" s="82"/>
      <c r="C345" s="81" t="s">
        <v>142</v>
      </c>
      <c r="D345" s="82">
        <v>40</v>
      </c>
      <c r="E345" s="82"/>
      <c r="F345" s="82"/>
      <c r="G345" s="82"/>
      <c r="H345" s="82"/>
      <c r="I345" s="82"/>
      <c r="J345" s="83">
        <v>59.55</v>
      </c>
      <c r="K345" s="171">
        <f>D345*J345/1000</f>
        <v>2.3820000000000001</v>
      </c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</sheetData>
  <mergeCells count="268">
    <mergeCell ref="E17:E19"/>
    <mergeCell ref="F18:I18"/>
    <mergeCell ref="F19:G19"/>
    <mergeCell ref="H19:I19"/>
    <mergeCell ref="E5:E7"/>
    <mergeCell ref="H65:I65"/>
    <mergeCell ref="H66:I66"/>
    <mergeCell ref="F67:G67"/>
    <mergeCell ref="H67:I67"/>
    <mergeCell ref="F24:G24"/>
    <mergeCell ref="H24:I24"/>
    <mergeCell ref="H22:I22"/>
    <mergeCell ref="H23:I23"/>
    <mergeCell ref="H20:I20"/>
    <mergeCell ref="H21:I21"/>
    <mergeCell ref="F79:G79"/>
    <mergeCell ref="H79:I79"/>
    <mergeCell ref="H80:I80"/>
    <mergeCell ref="F81:G81"/>
    <mergeCell ref="H81:I81"/>
    <mergeCell ref="H83:I83"/>
    <mergeCell ref="F73:G73"/>
    <mergeCell ref="H73:I73"/>
    <mergeCell ref="H74:I74"/>
    <mergeCell ref="H75:I75"/>
    <mergeCell ref="H76:I76"/>
    <mergeCell ref="F77:G77"/>
    <mergeCell ref="H77:I77"/>
    <mergeCell ref="H90:I90"/>
    <mergeCell ref="H91:I91"/>
    <mergeCell ref="H92:I92"/>
    <mergeCell ref="H93:I93"/>
    <mergeCell ref="F94:G94"/>
    <mergeCell ref="H94:I94"/>
    <mergeCell ref="H84:I84"/>
    <mergeCell ref="H85:I85"/>
    <mergeCell ref="H86:I86"/>
    <mergeCell ref="H87:I87"/>
    <mergeCell ref="H88:I88"/>
    <mergeCell ref="H89:I89"/>
    <mergeCell ref="H116:I116"/>
    <mergeCell ref="F118:G118"/>
    <mergeCell ref="H118:I118"/>
    <mergeCell ref="H119:I119"/>
    <mergeCell ref="H120:I120"/>
    <mergeCell ref="H121:I121"/>
    <mergeCell ref="F100:G100"/>
    <mergeCell ref="H100:I100"/>
    <mergeCell ref="F95:G95"/>
    <mergeCell ref="H95:I95"/>
    <mergeCell ref="F97:G97"/>
    <mergeCell ref="H97:I97"/>
    <mergeCell ref="H98:I98"/>
    <mergeCell ref="H99:I99"/>
    <mergeCell ref="F114:G114"/>
    <mergeCell ref="H114:I114"/>
    <mergeCell ref="F115:I115"/>
    <mergeCell ref="F112:G112"/>
    <mergeCell ref="H112:I112"/>
    <mergeCell ref="F113:G113"/>
    <mergeCell ref="H113:I113"/>
    <mergeCell ref="F110:G110"/>
    <mergeCell ref="H110:I110"/>
    <mergeCell ref="F111:G111"/>
    <mergeCell ref="F128:G128"/>
    <mergeCell ref="H128:I128"/>
    <mergeCell ref="F132:G132"/>
    <mergeCell ref="H132:I132"/>
    <mergeCell ref="H122:I122"/>
    <mergeCell ref="F124:G124"/>
    <mergeCell ref="H124:I124"/>
    <mergeCell ref="H125:I125"/>
    <mergeCell ref="H126:I126"/>
    <mergeCell ref="H127:I127"/>
    <mergeCell ref="F138:G138"/>
    <mergeCell ref="H138:I138"/>
    <mergeCell ref="F140:G140"/>
    <mergeCell ref="H140:I140"/>
    <mergeCell ref="H141:I141"/>
    <mergeCell ref="H142:I142"/>
    <mergeCell ref="F134:G134"/>
    <mergeCell ref="H134:I134"/>
    <mergeCell ref="F135:G135"/>
    <mergeCell ref="H135:I135"/>
    <mergeCell ref="F136:G136"/>
    <mergeCell ref="F137:G137"/>
    <mergeCell ref="H137:I137"/>
    <mergeCell ref="F148:G148"/>
    <mergeCell ref="H148:I148"/>
    <mergeCell ref="H149:I149"/>
    <mergeCell ref="F153:G153"/>
    <mergeCell ref="H153:I153"/>
    <mergeCell ref="H154:I154"/>
    <mergeCell ref="H143:I143"/>
    <mergeCell ref="H144:I144"/>
    <mergeCell ref="H145:I145"/>
    <mergeCell ref="F146:G146"/>
    <mergeCell ref="H146:I146"/>
    <mergeCell ref="F147:G147"/>
    <mergeCell ref="H147:I147"/>
    <mergeCell ref="F163:G163"/>
    <mergeCell ref="H163:I163"/>
    <mergeCell ref="F164:G164"/>
    <mergeCell ref="H164:I164"/>
    <mergeCell ref="F165:G165"/>
    <mergeCell ref="H165:I165"/>
    <mergeCell ref="H155:I155"/>
    <mergeCell ref="F156:G156"/>
    <mergeCell ref="H156:I156"/>
    <mergeCell ref="F160:G160"/>
    <mergeCell ref="H160:I160"/>
    <mergeCell ref="F162:G162"/>
    <mergeCell ref="H162:I162"/>
    <mergeCell ref="F169:G169"/>
    <mergeCell ref="H169:I169"/>
    <mergeCell ref="F170:G170"/>
    <mergeCell ref="H170:I170"/>
    <mergeCell ref="F171:G171"/>
    <mergeCell ref="H171:I171"/>
    <mergeCell ref="F166:G166"/>
    <mergeCell ref="H166:I166"/>
    <mergeCell ref="F167:G167"/>
    <mergeCell ref="H167:I167"/>
    <mergeCell ref="F168:G168"/>
    <mergeCell ref="H168:I168"/>
    <mergeCell ref="F176:G176"/>
    <mergeCell ref="H176:I176"/>
    <mergeCell ref="F177:G177"/>
    <mergeCell ref="H177:I177"/>
    <mergeCell ref="F178:G178"/>
    <mergeCell ref="H178:I178"/>
    <mergeCell ref="F172:G172"/>
    <mergeCell ref="H172:I172"/>
    <mergeCell ref="F174:G174"/>
    <mergeCell ref="H174:I174"/>
    <mergeCell ref="F175:G175"/>
    <mergeCell ref="H175:I175"/>
    <mergeCell ref="H190:I190"/>
    <mergeCell ref="H191:I191"/>
    <mergeCell ref="H192:I192"/>
    <mergeCell ref="H193:I193"/>
    <mergeCell ref="H194:I194"/>
    <mergeCell ref="H195:I195"/>
    <mergeCell ref="F179:G179"/>
    <mergeCell ref="H179:I179"/>
    <mergeCell ref="F181:G181"/>
    <mergeCell ref="H181:I181"/>
    <mergeCell ref="H186:I186"/>
    <mergeCell ref="H188:I188"/>
    <mergeCell ref="H203:I203"/>
    <mergeCell ref="F212:G212"/>
    <mergeCell ref="F214:G214"/>
    <mergeCell ref="F216:G216"/>
    <mergeCell ref="H216:I216"/>
    <mergeCell ref="H217:I217"/>
    <mergeCell ref="H196:I196"/>
    <mergeCell ref="H198:I198"/>
    <mergeCell ref="H199:I199"/>
    <mergeCell ref="H200:I200"/>
    <mergeCell ref="H201:I201"/>
    <mergeCell ref="H202:I202"/>
    <mergeCell ref="H224:I224"/>
    <mergeCell ref="H225:I225"/>
    <mergeCell ref="F226:I226"/>
    <mergeCell ref="F234:G234"/>
    <mergeCell ref="H234:I234"/>
    <mergeCell ref="H235:I235"/>
    <mergeCell ref="H218:I218"/>
    <mergeCell ref="H219:I219"/>
    <mergeCell ref="H220:I220"/>
    <mergeCell ref="H221:I221"/>
    <mergeCell ref="H222:I222"/>
    <mergeCell ref="H223:I223"/>
    <mergeCell ref="F256:G256"/>
    <mergeCell ref="H256:I256"/>
    <mergeCell ref="H257:I257"/>
    <mergeCell ref="H236:I236"/>
    <mergeCell ref="H237:I237"/>
    <mergeCell ref="H238:I238"/>
    <mergeCell ref="H239:I239"/>
    <mergeCell ref="H240:I240"/>
    <mergeCell ref="H242:I242"/>
    <mergeCell ref="H258:I258"/>
    <mergeCell ref="H259:I259"/>
    <mergeCell ref="H260:I260"/>
    <mergeCell ref="H261:I261"/>
    <mergeCell ref="H262:I262"/>
    <mergeCell ref="H263:I263"/>
    <mergeCell ref="H243:I243"/>
    <mergeCell ref="H244:I244"/>
    <mergeCell ref="H245:I245"/>
    <mergeCell ref="H271:I271"/>
    <mergeCell ref="F272:G272"/>
    <mergeCell ref="H272:I272"/>
    <mergeCell ref="H264:I264"/>
    <mergeCell ref="H265:I265"/>
    <mergeCell ref="H266:I266"/>
    <mergeCell ref="H268:I268"/>
    <mergeCell ref="H269:I269"/>
    <mergeCell ref="H270:I270"/>
    <mergeCell ref="H281:I281"/>
    <mergeCell ref="H282:I282"/>
    <mergeCell ref="H283:I283"/>
    <mergeCell ref="H284:I284"/>
    <mergeCell ref="H285:I285"/>
    <mergeCell ref="H286:I286"/>
    <mergeCell ref="F278:G278"/>
    <mergeCell ref="H278:I278"/>
    <mergeCell ref="H279:I279"/>
    <mergeCell ref="H280:I280"/>
    <mergeCell ref="H293:I293"/>
    <mergeCell ref="H294:I294"/>
    <mergeCell ref="H295:I295"/>
    <mergeCell ref="H296:I296"/>
    <mergeCell ref="H297:I297"/>
    <mergeCell ref="H298:I298"/>
    <mergeCell ref="H287:I287"/>
    <mergeCell ref="H288:I288"/>
    <mergeCell ref="H289:I289"/>
    <mergeCell ref="H290:I290"/>
    <mergeCell ref="H291:I291"/>
    <mergeCell ref="H292:I292"/>
    <mergeCell ref="H304:I304"/>
    <mergeCell ref="H305:I305"/>
    <mergeCell ref="H306:I306"/>
    <mergeCell ref="H307:I307"/>
    <mergeCell ref="F311:G311"/>
    <mergeCell ref="H311:I311"/>
    <mergeCell ref="H299:I299"/>
    <mergeCell ref="F300:G300"/>
    <mergeCell ref="H300:I300"/>
    <mergeCell ref="F301:I301"/>
    <mergeCell ref="F303:G303"/>
    <mergeCell ref="H303:I303"/>
    <mergeCell ref="F324:G324"/>
    <mergeCell ref="H327:I327"/>
    <mergeCell ref="F329:G329"/>
    <mergeCell ref="H329:I329"/>
    <mergeCell ref="H312:I312"/>
    <mergeCell ref="H313:I313"/>
    <mergeCell ref="H314:I314"/>
    <mergeCell ref="H315:I315"/>
    <mergeCell ref="F316:G316"/>
    <mergeCell ref="H316:I316"/>
    <mergeCell ref="H111:I111"/>
    <mergeCell ref="H341:I341"/>
    <mergeCell ref="H342:I342"/>
    <mergeCell ref="H343:I343"/>
    <mergeCell ref="F107:G107"/>
    <mergeCell ref="H107:I107"/>
    <mergeCell ref="F108:G108"/>
    <mergeCell ref="F109:G109"/>
    <mergeCell ref="H109:I109"/>
    <mergeCell ref="F336:G336"/>
    <mergeCell ref="H336:I336"/>
    <mergeCell ref="F338:G338"/>
    <mergeCell ref="H338:I338"/>
    <mergeCell ref="F340:G340"/>
    <mergeCell ref="H340:I340"/>
    <mergeCell ref="H330:I330"/>
    <mergeCell ref="H331:I331"/>
    <mergeCell ref="H332:I332"/>
    <mergeCell ref="H333:I333"/>
    <mergeCell ref="H334:I334"/>
    <mergeCell ref="F335:G335"/>
    <mergeCell ref="H335:I335"/>
    <mergeCell ref="H321:I321"/>
    <mergeCell ref="F322:G3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1"/>
  <sheetViews>
    <sheetView topLeftCell="A304" zoomScale="70" zoomScaleNormal="70" workbookViewId="0">
      <selection activeCell="B4" sqref="B4"/>
    </sheetView>
  </sheetViews>
  <sheetFormatPr defaultColWidth="9.109375" defaultRowHeight="15.6" x14ac:dyDescent="0.3"/>
  <cols>
    <col min="1" max="1" width="9.6640625" style="51" customWidth="1"/>
    <col min="2" max="2" width="12.6640625" style="51" customWidth="1"/>
    <col min="3" max="3" width="21.5546875" style="51" customWidth="1"/>
    <col min="4" max="4" width="10.6640625" style="53" customWidth="1"/>
    <col min="5" max="5" width="27.88671875" style="53" customWidth="1"/>
    <col min="6" max="6" width="7.88671875" style="53" customWidth="1"/>
    <col min="7" max="7" width="6.88671875" style="53" customWidth="1"/>
    <col min="8" max="8" width="5.6640625" style="53" customWidth="1"/>
    <col min="9" max="9" width="4.6640625" style="53" customWidth="1"/>
    <col min="10" max="11" width="9.109375" style="3" customWidth="1"/>
    <col min="12" max="16384" width="9.109375" style="53"/>
  </cols>
  <sheetData>
    <row r="1" spans="1:11" x14ac:dyDescent="0.3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6.8" x14ac:dyDescent="0.3">
      <c r="A2" s="54" t="s">
        <v>90</v>
      </c>
      <c r="B2" s="55">
        <f>(B4+B29+B75+B102+B130+B183+B205+B236+B263+B309)/10</f>
        <v>57.642873265789468</v>
      </c>
      <c r="C2" s="56"/>
      <c r="D2" s="57" t="s">
        <v>91</v>
      </c>
      <c r="J2" s="58" t="s">
        <v>92</v>
      </c>
      <c r="K2" s="58" t="s">
        <v>93</v>
      </c>
    </row>
    <row r="3" spans="1:11" x14ac:dyDescent="0.3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 x14ac:dyDescent="0.3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 x14ac:dyDescent="0.3">
      <c r="B5" s="51">
        <f>D3+D4+D5+D17+D26</f>
        <v>560</v>
      </c>
      <c r="C5" s="51" t="s">
        <v>97</v>
      </c>
      <c r="D5" s="53">
        <v>200</v>
      </c>
      <c r="E5" s="328" t="s">
        <v>98</v>
      </c>
      <c r="F5" s="214" t="s">
        <v>99</v>
      </c>
      <c r="G5" s="215"/>
      <c r="H5" s="215"/>
      <c r="I5" s="215"/>
      <c r="K5" s="59">
        <f>SUM(K8:K13)</f>
        <v>12.429930000000001</v>
      </c>
    </row>
    <row r="6" spans="1:11" x14ac:dyDescent="0.3">
      <c r="E6" s="329"/>
      <c r="F6" s="216">
        <v>1</v>
      </c>
      <c r="G6" s="217"/>
      <c r="H6" s="217"/>
      <c r="I6" s="218"/>
    </row>
    <row r="7" spans="1:11" x14ac:dyDescent="0.3">
      <c r="E7" s="330"/>
      <c r="F7" s="136" t="s">
        <v>100</v>
      </c>
      <c r="G7" s="137"/>
      <c r="H7" s="136" t="s">
        <v>101</v>
      </c>
      <c r="I7" s="137"/>
    </row>
    <row r="8" spans="1:11" x14ac:dyDescent="0.3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 x14ac:dyDescent="0.3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 x14ac:dyDescent="0.3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 x14ac:dyDescent="0.3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 x14ac:dyDescent="0.3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 x14ac:dyDescent="0.3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 x14ac:dyDescent="0.3">
      <c r="E14" s="64"/>
      <c r="F14" s="67"/>
      <c r="G14" s="68"/>
      <c r="H14" s="67"/>
      <c r="I14" s="68"/>
    </row>
    <row r="15" spans="1:11" x14ac:dyDescent="0.3">
      <c r="A15" s="69"/>
      <c r="E15" s="70" t="s">
        <v>108</v>
      </c>
      <c r="F15" s="117" t="s">
        <v>109</v>
      </c>
      <c r="G15" s="118"/>
      <c r="H15" s="219">
        <v>200</v>
      </c>
      <c r="I15" s="220"/>
    </row>
    <row r="17" spans="1:26" x14ac:dyDescent="0.3">
      <c r="C17" s="51" t="s">
        <v>110</v>
      </c>
      <c r="D17" s="53">
        <v>200</v>
      </c>
      <c r="E17" s="323" t="s">
        <v>98</v>
      </c>
      <c r="F17" s="221" t="s">
        <v>99</v>
      </c>
      <c r="G17" s="222"/>
      <c r="H17" s="222"/>
      <c r="I17" s="222"/>
      <c r="K17" s="71">
        <f>K20+K21+K22+K23</f>
        <v>7.3504000000000005</v>
      </c>
    </row>
    <row r="18" spans="1:26" x14ac:dyDescent="0.3">
      <c r="E18" s="324"/>
      <c r="F18" s="326">
        <v>1</v>
      </c>
      <c r="G18" s="326"/>
      <c r="H18" s="326"/>
      <c r="I18" s="326"/>
    </row>
    <row r="19" spans="1:26" x14ac:dyDescent="0.3">
      <c r="E19" s="325"/>
      <c r="F19" s="327" t="s">
        <v>100</v>
      </c>
      <c r="G19" s="327"/>
      <c r="H19" s="327" t="s">
        <v>101</v>
      </c>
      <c r="I19" s="327"/>
    </row>
    <row r="20" spans="1:26" x14ac:dyDescent="0.3">
      <c r="E20" s="72" t="s">
        <v>16</v>
      </c>
      <c r="F20" s="73">
        <v>4</v>
      </c>
      <c r="G20" s="74"/>
      <c r="H20" s="333">
        <f>F20</f>
        <v>4</v>
      </c>
      <c r="I20" s="333"/>
      <c r="J20" s="3">
        <v>272</v>
      </c>
      <c r="K20" s="3">
        <f>F20*J20/1000</f>
        <v>1.0880000000000001</v>
      </c>
    </row>
    <row r="21" spans="1:26" x14ac:dyDescent="0.3">
      <c r="E21" s="75" t="s">
        <v>103</v>
      </c>
      <c r="F21" s="76">
        <v>100</v>
      </c>
      <c r="G21" s="77"/>
      <c r="H21" s="333">
        <f>F21</f>
        <v>100</v>
      </c>
      <c r="I21" s="333"/>
      <c r="J21" s="3">
        <v>48.17</v>
      </c>
      <c r="K21" s="3">
        <f>F21*J21/1000</f>
        <v>4.8170000000000002</v>
      </c>
    </row>
    <row r="22" spans="1:26" x14ac:dyDescent="0.3">
      <c r="E22" s="75" t="s">
        <v>104</v>
      </c>
      <c r="F22" s="76">
        <v>110</v>
      </c>
      <c r="G22" s="77"/>
      <c r="H22" s="333">
        <f>F22</f>
        <v>110</v>
      </c>
      <c r="I22" s="333"/>
      <c r="K22" s="3">
        <f>F22*J22/1000</f>
        <v>0</v>
      </c>
    </row>
    <row r="23" spans="1:26" x14ac:dyDescent="0.3">
      <c r="E23" s="75" t="s">
        <v>111</v>
      </c>
      <c r="F23" s="78">
        <v>20</v>
      </c>
      <c r="G23" s="79"/>
      <c r="H23" s="333">
        <f>F23</f>
        <v>20</v>
      </c>
      <c r="I23" s="333"/>
      <c r="J23" s="3">
        <v>72.27</v>
      </c>
      <c r="K23" s="3">
        <f>F23*J23/1000</f>
        <v>1.4453999999999998</v>
      </c>
    </row>
    <row r="24" spans="1:26" x14ac:dyDescent="0.3">
      <c r="E24" s="80" t="s">
        <v>108</v>
      </c>
      <c r="F24" s="331" t="s">
        <v>109</v>
      </c>
      <c r="G24" s="331"/>
      <c r="H24" s="332">
        <v>200</v>
      </c>
      <c r="I24" s="332"/>
    </row>
    <row r="26" spans="1:26" x14ac:dyDescent="0.3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2" thickBot="1" x14ac:dyDescent="0.35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x14ac:dyDescent="0.3">
      <c r="A28" s="51" t="s">
        <v>20</v>
      </c>
      <c r="B28" s="51" t="s">
        <v>71</v>
      </c>
      <c r="C28" s="227"/>
      <c r="D28" s="227"/>
      <c r="E28" s="227"/>
      <c r="F28" s="227"/>
      <c r="G28" s="227"/>
      <c r="H28" s="227"/>
      <c r="I28" s="227"/>
      <c r="J28" s="230"/>
      <c r="K28" s="230"/>
    </row>
    <row r="29" spans="1:26" x14ac:dyDescent="0.3">
      <c r="A29" s="51" t="s">
        <v>113</v>
      </c>
      <c r="B29" s="85">
        <f>K29+K33+K58+K64+K71</f>
        <v>60.325489999999995</v>
      </c>
      <c r="C29" s="226" t="s">
        <v>336</v>
      </c>
      <c r="D29" s="227"/>
      <c r="E29" s="226" t="s">
        <v>335</v>
      </c>
      <c r="F29" s="229">
        <v>40</v>
      </c>
      <c r="G29" s="229"/>
      <c r="H29" s="227"/>
      <c r="I29" s="227"/>
      <c r="J29" s="230">
        <v>140</v>
      </c>
      <c r="K29" s="84">
        <f>F29*J29/1000</f>
        <v>5.6</v>
      </c>
    </row>
    <row r="30" spans="1:26" x14ac:dyDescent="0.3">
      <c r="B30" s="51">
        <f>D28+D33+D58+D64+D71</f>
        <v>480</v>
      </c>
      <c r="C30" s="226"/>
      <c r="D30" s="227"/>
      <c r="E30" s="228"/>
      <c r="F30" s="229"/>
      <c r="G30" s="229"/>
      <c r="H30" s="227"/>
      <c r="I30" s="227"/>
      <c r="J30" s="230"/>
      <c r="K30" s="230"/>
    </row>
    <row r="31" spans="1:26" x14ac:dyDescent="0.3">
      <c r="B31" s="52"/>
      <c r="C31" s="226"/>
      <c r="D31" s="227"/>
      <c r="E31" s="228"/>
      <c r="F31" s="229"/>
      <c r="G31" s="229"/>
      <c r="H31" s="227"/>
      <c r="I31" s="227"/>
      <c r="J31" s="230"/>
      <c r="K31" s="230"/>
    </row>
    <row r="32" spans="1:26" x14ac:dyDescent="0.3">
      <c r="A32" s="53"/>
      <c r="B32" s="53"/>
      <c r="K32" s="89"/>
    </row>
    <row r="33" spans="1:11" ht="13.8" x14ac:dyDescent="0.25">
      <c r="A33" s="53"/>
      <c r="B33" s="53"/>
      <c r="C33" s="90" t="s">
        <v>114</v>
      </c>
      <c r="D33" s="53">
        <v>90</v>
      </c>
      <c r="F33" s="326">
        <v>1</v>
      </c>
      <c r="G33" s="326"/>
      <c r="H33" s="326"/>
      <c r="I33" s="326"/>
      <c r="K33" s="84">
        <f>SUM(K35:K54)</f>
        <v>39.507389999999994</v>
      </c>
    </row>
    <row r="34" spans="1:11" x14ac:dyDescent="0.3">
      <c r="A34" s="53"/>
      <c r="B34" s="53"/>
      <c r="F34" s="349" t="s">
        <v>100</v>
      </c>
      <c r="G34" s="327"/>
      <c r="H34" s="349" t="s">
        <v>101</v>
      </c>
      <c r="I34" s="327"/>
    </row>
    <row r="35" spans="1:11" x14ac:dyDescent="0.3">
      <c r="A35" s="53"/>
      <c r="B35" s="53"/>
      <c r="E35" s="91" t="s">
        <v>115</v>
      </c>
      <c r="F35" s="91">
        <v>63.36</v>
      </c>
      <c r="G35" s="92"/>
      <c r="H35" s="291">
        <v>46.62</v>
      </c>
      <c r="I35" s="291"/>
      <c r="J35" s="3">
        <v>548</v>
      </c>
      <c r="K35" s="3">
        <f>F35*J35/1000</f>
        <v>34.72128</v>
      </c>
    </row>
    <row r="36" spans="1:11" x14ac:dyDescent="0.3">
      <c r="A36" s="53"/>
      <c r="B36" s="53"/>
      <c r="E36" s="91" t="s">
        <v>103</v>
      </c>
      <c r="F36" s="91">
        <v>15.12</v>
      </c>
      <c r="G36" s="92"/>
      <c r="H36" s="291">
        <v>15.12</v>
      </c>
      <c r="I36" s="291"/>
      <c r="J36" s="3">
        <v>57.5</v>
      </c>
      <c r="K36" s="3">
        <f>F36*J36/1000</f>
        <v>0.86939999999999995</v>
      </c>
    </row>
    <row r="37" spans="1:11" x14ac:dyDescent="0.3">
      <c r="A37" s="53"/>
      <c r="B37" s="53"/>
      <c r="E37" s="91" t="s">
        <v>116</v>
      </c>
      <c r="F37" s="91">
        <v>15.12</v>
      </c>
      <c r="G37" s="92"/>
      <c r="H37" s="291">
        <v>15.12</v>
      </c>
      <c r="I37" s="291"/>
    </row>
    <row r="38" spans="1:11" x14ac:dyDescent="0.3">
      <c r="A38" s="53"/>
      <c r="B38" s="53"/>
      <c r="E38" s="91" t="s">
        <v>117</v>
      </c>
      <c r="F38" s="91">
        <v>11.34</v>
      </c>
      <c r="G38" s="92"/>
      <c r="H38" s="291">
        <v>11.34</v>
      </c>
      <c r="I38" s="291"/>
      <c r="J38" s="3">
        <v>50.09</v>
      </c>
      <c r="K38" s="3">
        <f>F38*J38/1000</f>
        <v>0.5680206000000001</v>
      </c>
    </row>
    <row r="39" spans="1:11" x14ac:dyDescent="0.3">
      <c r="A39" s="53"/>
      <c r="B39" s="53"/>
      <c r="E39" s="91" t="s">
        <v>118</v>
      </c>
      <c r="F39" s="91">
        <v>6.3</v>
      </c>
      <c r="G39" s="92"/>
      <c r="H39" s="291">
        <v>6.3</v>
      </c>
      <c r="I39" s="291"/>
      <c r="J39" s="3">
        <v>200</v>
      </c>
      <c r="K39" s="3">
        <f>F39*J39/1000</f>
        <v>1.26</v>
      </c>
    </row>
    <row r="40" spans="1:11" x14ac:dyDescent="0.3">
      <c r="A40" s="53"/>
      <c r="B40" s="53"/>
      <c r="E40" s="91" t="s">
        <v>119</v>
      </c>
      <c r="F40" s="91" t="s">
        <v>109</v>
      </c>
      <c r="G40" s="92"/>
      <c r="H40" s="291">
        <v>78.12</v>
      </c>
      <c r="I40" s="291"/>
    </row>
    <row r="41" spans="1:11" x14ac:dyDescent="0.3">
      <c r="A41" s="53"/>
      <c r="B41" s="53"/>
      <c r="E41" s="91" t="s">
        <v>5</v>
      </c>
      <c r="F41" s="93">
        <v>3.78</v>
      </c>
      <c r="G41" s="94"/>
      <c r="H41" s="291">
        <v>3.78</v>
      </c>
      <c r="I41" s="291"/>
      <c r="J41" s="3">
        <v>152</v>
      </c>
      <c r="K41" s="3">
        <f>F41*J41/1000</f>
        <v>0.57455999999999996</v>
      </c>
    </row>
    <row r="42" spans="1:11" ht="26.4" x14ac:dyDescent="0.3">
      <c r="A42" s="53"/>
      <c r="B42" s="53"/>
      <c r="E42" s="91" t="s">
        <v>120</v>
      </c>
      <c r="F42" s="91" t="s">
        <v>109</v>
      </c>
      <c r="G42" s="92"/>
      <c r="H42" s="291" t="s">
        <v>109</v>
      </c>
      <c r="I42" s="291"/>
    </row>
    <row r="43" spans="1:11" x14ac:dyDescent="0.3">
      <c r="A43" s="53"/>
      <c r="B43" s="53"/>
      <c r="E43" s="91" t="s">
        <v>121</v>
      </c>
      <c r="F43" s="91" t="s">
        <v>109</v>
      </c>
      <c r="G43" s="92"/>
      <c r="H43" s="291">
        <v>63</v>
      </c>
      <c r="I43" s="291"/>
    </row>
    <row r="44" spans="1:11" x14ac:dyDescent="0.3">
      <c r="A44" s="53"/>
      <c r="B44" s="53"/>
      <c r="E44" s="91" t="s">
        <v>122</v>
      </c>
      <c r="F44" s="91" t="s">
        <v>109</v>
      </c>
      <c r="G44" s="92"/>
      <c r="H44" s="291">
        <v>27</v>
      </c>
      <c r="I44" s="291"/>
    </row>
    <row r="45" spans="1:11" x14ac:dyDescent="0.3">
      <c r="A45" s="53"/>
      <c r="B45" s="53"/>
      <c r="E45" s="91" t="s">
        <v>123</v>
      </c>
      <c r="F45" s="91">
        <v>24.3</v>
      </c>
      <c r="G45" s="92"/>
      <c r="H45" s="291">
        <v>24.3</v>
      </c>
      <c r="I45" s="291"/>
    </row>
    <row r="46" spans="1:11" x14ac:dyDescent="0.3">
      <c r="A46" s="53"/>
      <c r="B46" s="53"/>
      <c r="E46" s="91" t="s">
        <v>116</v>
      </c>
      <c r="F46" s="91">
        <v>24.3</v>
      </c>
      <c r="G46" s="92"/>
      <c r="H46" s="291">
        <v>24.3</v>
      </c>
      <c r="I46" s="291"/>
    </row>
    <row r="47" spans="1:11" x14ac:dyDescent="0.3">
      <c r="A47" s="53"/>
      <c r="B47" s="53"/>
      <c r="E47" s="91" t="s">
        <v>105</v>
      </c>
      <c r="F47" s="95">
        <v>1.26</v>
      </c>
      <c r="G47" s="96"/>
      <c r="H47" s="291">
        <v>1.26</v>
      </c>
      <c r="I47" s="291"/>
      <c r="J47" s="3">
        <v>497.15</v>
      </c>
      <c r="K47" s="3">
        <f t="shared" ref="K47:K54" si="2">F47*J47/1000</f>
        <v>0.62640899999999999</v>
      </c>
    </row>
    <row r="48" spans="1:11" x14ac:dyDescent="0.3">
      <c r="A48" s="53"/>
      <c r="B48" s="53"/>
      <c r="E48" s="91" t="s">
        <v>34</v>
      </c>
      <c r="F48" s="91">
        <v>1.26</v>
      </c>
      <c r="G48" s="92"/>
      <c r="H48" s="291">
        <v>1.26</v>
      </c>
      <c r="I48" s="291"/>
      <c r="J48" s="3">
        <v>37</v>
      </c>
      <c r="K48" s="3">
        <f t="shared" si="2"/>
        <v>4.6619999999999995E-2</v>
      </c>
    </row>
    <row r="49" spans="1:11" x14ac:dyDescent="0.3">
      <c r="A49" s="53"/>
      <c r="B49" s="53"/>
      <c r="E49" s="91" t="s">
        <v>45</v>
      </c>
      <c r="F49" s="91">
        <v>2.0699999999999998</v>
      </c>
      <c r="G49" s="92"/>
      <c r="H49" s="291">
        <v>1.62</v>
      </c>
      <c r="I49" s="291"/>
      <c r="J49" s="3">
        <v>30</v>
      </c>
      <c r="K49" s="3">
        <f t="shared" si="2"/>
        <v>6.2099999999999995E-2</v>
      </c>
    </row>
    <row r="50" spans="1:11" x14ac:dyDescent="0.3">
      <c r="A50" s="53"/>
      <c r="B50" s="53"/>
      <c r="E50" s="91" t="s">
        <v>44</v>
      </c>
      <c r="F50" s="91">
        <v>0.63</v>
      </c>
      <c r="G50" s="92"/>
      <c r="H50" s="291">
        <v>0.54</v>
      </c>
      <c r="I50" s="291"/>
      <c r="J50" s="3">
        <v>20</v>
      </c>
      <c r="K50" s="3">
        <f t="shared" si="2"/>
        <v>1.26E-2</v>
      </c>
    </row>
    <row r="51" spans="1:11" x14ac:dyDescent="0.3">
      <c r="A51" s="53"/>
      <c r="B51" s="53"/>
      <c r="E51" s="91" t="s">
        <v>105</v>
      </c>
      <c r="F51" s="95">
        <v>0.45</v>
      </c>
      <c r="G51" s="96"/>
      <c r="H51" s="291">
        <v>0.45</v>
      </c>
      <c r="I51" s="291"/>
      <c r="J51" s="3">
        <v>497.15</v>
      </c>
      <c r="K51" s="3">
        <f t="shared" si="2"/>
        <v>0.22371750000000001</v>
      </c>
    </row>
    <row r="52" spans="1:11" x14ac:dyDescent="0.3">
      <c r="A52" s="53"/>
      <c r="B52" s="53"/>
      <c r="E52" s="91" t="s">
        <v>124</v>
      </c>
      <c r="F52" s="91">
        <v>0.09</v>
      </c>
      <c r="G52" s="92"/>
      <c r="H52" s="291">
        <v>0.09</v>
      </c>
      <c r="I52" s="291"/>
      <c r="J52" s="3">
        <v>17</v>
      </c>
      <c r="K52" s="3">
        <f t="shared" si="2"/>
        <v>1.5300000000000001E-3</v>
      </c>
    </row>
    <row r="53" spans="1:11" x14ac:dyDescent="0.3">
      <c r="A53" s="53"/>
      <c r="B53" s="53"/>
      <c r="E53" s="91" t="s">
        <v>125</v>
      </c>
      <c r="F53" s="91">
        <v>0.27</v>
      </c>
      <c r="G53" s="92"/>
      <c r="H53" s="291">
        <v>0.27</v>
      </c>
      <c r="I53" s="291"/>
      <c r="J53" s="3">
        <v>72.27</v>
      </c>
      <c r="K53" s="3">
        <f t="shared" si="2"/>
        <v>1.9512900000000003E-2</v>
      </c>
    </row>
    <row r="54" spans="1:11" x14ac:dyDescent="0.3">
      <c r="A54" s="53"/>
      <c r="B54" s="53"/>
      <c r="E54" s="91" t="s">
        <v>126</v>
      </c>
      <c r="F54" s="91">
        <v>3.78</v>
      </c>
      <c r="G54" s="92"/>
      <c r="H54" s="291">
        <v>3.78</v>
      </c>
      <c r="I54" s="291"/>
      <c r="J54" s="3">
        <v>138</v>
      </c>
      <c r="K54" s="3">
        <f t="shared" si="2"/>
        <v>0.52163999999999999</v>
      </c>
    </row>
    <row r="55" spans="1:11" x14ac:dyDescent="0.3">
      <c r="A55" s="53"/>
      <c r="B55" s="53"/>
      <c r="E55" s="97" t="s">
        <v>127</v>
      </c>
      <c r="F55" s="346">
        <v>90</v>
      </c>
      <c r="G55" s="347"/>
      <c r="H55" s="347"/>
      <c r="I55" s="348"/>
    </row>
    <row r="56" spans="1:11" x14ac:dyDescent="0.3">
      <c r="A56" s="53"/>
      <c r="B56" s="53"/>
      <c r="E56" s="98"/>
      <c r="F56" s="99"/>
      <c r="G56" s="99"/>
      <c r="H56" s="100"/>
      <c r="I56" s="100"/>
    </row>
    <row r="58" spans="1:11" x14ac:dyDescent="0.3">
      <c r="A58" s="53"/>
      <c r="B58" s="53"/>
      <c r="C58" s="51" t="s">
        <v>128</v>
      </c>
      <c r="D58" s="53">
        <v>150</v>
      </c>
      <c r="F58" s="283" t="s">
        <v>100</v>
      </c>
      <c r="G58" s="283"/>
      <c r="H58" s="283" t="s">
        <v>101</v>
      </c>
      <c r="I58" s="283"/>
      <c r="K58" s="84">
        <f>K59+K60+K61</f>
        <v>4.70045</v>
      </c>
    </row>
    <row r="59" spans="1:11" x14ac:dyDescent="0.3">
      <c r="E59" s="61" t="s">
        <v>129</v>
      </c>
      <c r="F59" s="62">
        <v>38</v>
      </c>
      <c r="G59" s="63"/>
      <c r="H59" s="279">
        <v>38</v>
      </c>
      <c r="I59" s="279"/>
      <c r="J59" s="3">
        <v>84</v>
      </c>
      <c r="K59" s="3">
        <f>J59*F59/1000</f>
        <v>3.1920000000000002</v>
      </c>
    </row>
    <row r="60" spans="1:11" x14ac:dyDescent="0.3">
      <c r="E60" s="101" t="s">
        <v>105</v>
      </c>
      <c r="F60" s="102">
        <v>3</v>
      </c>
      <c r="G60" s="103"/>
      <c r="H60" s="280">
        <v>3</v>
      </c>
      <c r="I60" s="281"/>
      <c r="J60" s="3">
        <v>497.15</v>
      </c>
      <c r="K60" s="3">
        <f>J60*F60/1000</f>
        <v>1.4914499999999997</v>
      </c>
    </row>
    <row r="61" spans="1:11" x14ac:dyDescent="0.3">
      <c r="E61" s="61" t="s">
        <v>106</v>
      </c>
      <c r="F61" s="67">
        <v>1</v>
      </c>
      <c r="G61" s="68"/>
      <c r="H61" s="279">
        <v>1</v>
      </c>
      <c r="I61" s="279"/>
      <c r="J61" s="3">
        <v>17</v>
      </c>
      <c r="K61" s="3">
        <f>J61*F61/1000</f>
        <v>1.7000000000000001E-2</v>
      </c>
    </row>
    <row r="62" spans="1:11" x14ac:dyDescent="0.3">
      <c r="E62" s="70" t="s">
        <v>108</v>
      </c>
      <c r="F62" s="286" t="s">
        <v>109</v>
      </c>
      <c r="G62" s="286"/>
      <c r="H62" s="282">
        <v>150</v>
      </c>
      <c r="I62" s="282"/>
    </row>
    <row r="64" spans="1:11" x14ac:dyDescent="0.3">
      <c r="C64" s="51" t="s">
        <v>130</v>
      </c>
      <c r="D64" s="53">
        <v>200</v>
      </c>
      <c r="F64" s="283" t="s">
        <v>100</v>
      </c>
      <c r="G64" s="283"/>
      <c r="H64" s="283" t="s">
        <v>101</v>
      </c>
      <c r="I64" s="283"/>
      <c r="K64" s="84">
        <f>SUM(K65:K68)</f>
        <v>8.514050000000001</v>
      </c>
    </row>
    <row r="65" spans="1:24" x14ac:dyDescent="0.3">
      <c r="E65" s="61" t="s">
        <v>131</v>
      </c>
      <c r="F65" s="62">
        <v>4</v>
      </c>
      <c r="G65" s="63"/>
      <c r="H65" s="279">
        <v>4</v>
      </c>
      <c r="I65" s="279"/>
      <c r="J65" s="3">
        <v>420</v>
      </c>
      <c r="K65" s="3">
        <f>J65*F65/1000</f>
        <v>1.68</v>
      </c>
    </row>
    <row r="66" spans="1:24" x14ac:dyDescent="0.3">
      <c r="E66" s="64" t="s">
        <v>107</v>
      </c>
      <c r="F66" s="65">
        <v>15</v>
      </c>
      <c r="G66" s="66"/>
      <c r="H66" s="280">
        <v>15</v>
      </c>
      <c r="I66" s="281"/>
      <c r="J66" s="3">
        <v>72.27</v>
      </c>
      <c r="K66" s="3">
        <f>J66*F66/1000</f>
        <v>1.08405</v>
      </c>
    </row>
    <row r="67" spans="1:24" x14ac:dyDescent="0.3">
      <c r="E67" s="64" t="s">
        <v>65</v>
      </c>
      <c r="F67" s="65">
        <v>100</v>
      </c>
      <c r="G67" s="66"/>
      <c r="H67" s="280">
        <v>100</v>
      </c>
      <c r="I67" s="281"/>
      <c r="J67" s="3">
        <v>57.5</v>
      </c>
      <c r="K67" s="3">
        <f>J67*F67/1000</f>
        <v>5.75</v>
      </c>
    </row>
    <row r="68" spans="1:24" x14ac:dyDescent="0.3">
      <c r="E68" s="64" t="s">
        <v>104</v>
      </c>
      <c r="F68" s="67">
        <v>81</v>
      </c>
      <c r="G68" s="68"/>
      <c r="H68" s="280">
        <v>81</v>
      </c>
      <c r="I68" s="281"/>
      <c r="J68" s="3">
        <v>0</v>
      </c>
      <c r="K68" s="3">
        <f>J68*F68/1000</f>
        <v>0</v>
      </c>
    </row>
    <row r="69" spans="1:24" x14ac:dyDescent="0.3">
      <c r="E69" s="70" t="s">
        <v>108</v>
      </c>
      <c r="F69" s="286" t="s">
        <v>109</v>
      </c>
      <c r="G69" s="286"/>
      <c r="H69" s="282">
        <v>200</v>
      </c>
      <c r="I69" s="282"/>
    </row>
    <row r="71" spans="1:24" x14ac:dyDescent="0.3">
      <c r="C71" s="51" t="s">
        <v>112</v>
      </c>
      <c r="D71" s="53">
        <v>40</v>
      </c>
      <c r="J71" s="3">
        <v>50.09</v>
      </c>
      <c r="K71" s="84">
        <f>J71*D71/1000</f>
        <v>2.0036</v>
      </c>
    </row>
    <row r="72" spans="1:24" ht="16.2" thickBot="1" x14ac:dyDescent="0.35">
      <c r="A72" s="81"/>
      <c r="B72" s="81"/>
      <c r="C72" s="81"/>
      <c r="D72" s="82"/>
      <c r="E72" s="82"/>
      <c r="F72" s="82"/>
      <c r="G72" s="82"/>
      <c r="H72" s="82"/>
      <c r="I72" s="82"/>
      <c r="J72" s="83"/>
      <c r="K72" s="83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</row>
    <row r="73" spans="1:24" x14ac:dyDescent="0.3">
      <c r="C73" s="226"/>
      <c r="D73" s="227"/>
      <c r="E73" s="227"/>
      <c r="F73" s="227"/>
      <c r="G73" s="227"/>
      <c r="H73" s="227"/>
      <c r="I73" s="227"/>
      <c r="J73" s="230"/>
      <c r="K73" s="230"/>
    </row>
    <row r="74" spans="1:24" x14ac:dyDescent="0.3">
      <c r="A74" s="51" t="s">
        <v>21</v>
      </c>
      <c r="B74" s="51" t="s">
        <v>71</v>
      </c>
      <c r="C74" s="51" t="s">
        <v>157</v>
      </c>
      <c r="D74" s="53">
        <v>100</v>
      </c>
      <c r="F74" s="53">
        <v>100</v>
      </c>
      <c r="J74" s="3">
        <v>120</v>
      </c>
      <c r="K74" s="3">
        <f>F74*J74/1000</f>
        <v>12</v>
      </c>
    </row>
    <row r="75" spans="1:24" x14ac:dyDescent="0.3">
      <c r="A75" s="51" t="s">
        <v>132</v>
      </c>
      <c r="B75" s="104">
        <f>K74+K76+K80+K94+K99</f>
        <v>71.125425000000007</v>
      </c>
    </row>
    <row r="76" spans="1:24" x14ac:dyDescent="0.3">
      <c r="A76" s="53"/>
      <c r="B76" s="53">
        <f>D74+D76+D80+D94+D99</f>
        <v>540</v>
      </c>
      <c r="C76" s="51" t="s">
        <v>135</v>
      </c>
      <c r="D76" s="53">
        <v>30</v>
      </c>
      <c r="F76" s="283" t="s">
        <v>100</v>
      </c>
      <c r="G76" s="283"/>
      <c r="H76" s="283" t="s">
        <v>101</v>
      </c>
      <c r="I76" s="283"/>
      <c r="K76" s="44">
        <f>K77</f>
        <v>4.41</v>
      </c>
    </row>
    <row r="77" spans="1:24" x14ac:dyDescent="0.3">
      <c r="A77" s="53"/>
      <c r="B77" s="87"/>
      <c r="E77" s="61" t="s">
        <v>136</v>
      </c>
      <c r="F77" s="105">
        <v>30</v>
      </c>
      <c r="G77" s="106"/>
      <c r="H77" s="279">
        <v>30</v>
      </c>
      <c r="I77" s="279"/>
      <c r="J77" s="3">
        <v>147</v>
      </c>
      <c r="K77" s="3">
        <f>F77*J77/1000</f>
        <v>4.41</v>
      </c>
    </row>
    <row r="78" spans="1:24" x14ac:dyDescent="0.3">
      <c r="A78" s="53"/>
      <c r="B78" s="53"/>
      <c r="F78" s="286" t="s">
        <v>109</v>
      </c>
      <c r="G78" s="286"/>
      <c r="H78" s="282">
        <v>20</v>
      </c>
      <c r="I78" s="282"/>
    </row>
    <row r="80" spans="1:24" x14ac:dyDescent="0.3">
      <c r="A80" s="53"/>
      <c r="B80" s="53"/>
      <c r="C80" s="107" t="s">
        <v>137</v>
      </c>
      <c r="D80" s="53">
        <v>170</v>
      </c>
      <c r="F80" s="108" t="s">
        <v>100</v>
      </c>
      <c r="G80" s="108" t="s">
        <v>101</v>
      </c>
      <c r="H80" s="283"/>
      <c r="I80" s="283"/>
      <c r="K80" s="44">
        <f>K81+K82+K83+K84+K85+K86+K87+K88+K89+K90+K91</f>
        <v>51.075775000000007</v>
      </c>
    </row>
    <row r="81" spans="1:11" x14ac:dyDescent="0.3">
      <c r="A81" s="53"/>
      <c r="B81" s="53"/>
      <c r="E81" s="109" t="s">
        <v>138</v>
      </c>
      <c r="F81" s="110">
        <v>158.1</v>
      </c>
      <c r="G81" s="110">
        <v>158.1</v>
      </c>
      <c r="H81" s="320"/>
      <c r="I81" s="279"/>
      <c r="J81" s="3">
        <v>260</v>
      </c>
      <c r="K81" s="3">
        <f t="shared" ref="K81:K91" si="3">J81*F81/1000</f>
        <v>41.106000000000002</v>
      </c>
    </row>
    <row r="82" spans="1:11" x14ac:dyDescent="0.3">
      <c r="A82" s="53"/>
      <c r="B82" s="53"/>
      <c r="E82" s="109" t="s">
        <v>118</v>
      </c>
      <c r="F82" s="110">
        <v>5.9</v>
      </c>
      <c r="G82" s="110">
        <v>5.9</v>
      </c>
      <c r="H82" s="320"/>
      <c r="I82" s="279"/>
      <c r="J82" s="3">
        <v>200</v>
      </c>
      <c r="K82" s="3">
        <f t="shared" si="3"/>
        <v>1.18</v>
      </c>
    </row>
    <row r="83" spans="1:11" x14ac:dyDescent="0.3">
      <c r="A83" s="53"/>
      <c r="B83" s="53"/>
      <c r="E83" s="109" t="s">
        <v>139</v>
      </c>
      <c r="F83" s="110">
        <v>4.9800000000000004</v>
      </c>
      <c r="G83" s="110">
        <v>4.54</v>
      </c>
      <c r="H83" s="320"/>
      <c r="I83" s="279"/>
      <c r="J83" s="111">
        <v>140</v>
      </c>
      <c r="K83" s="3">
        <f t="shared" si="3"/>
        <v>0.69720000000000004</v>
      </c>
    </row>
    <row r="84" spans="1:11" x14ac:dyDescent="0.3">
      <c r="A84" s="53"/>
      <c r="B84" s="53"/>
      <c r="E84" s="109" t="s">
        <v>37</v>
      </c>
      <c r="F84" s="110">
        <v>11</v>
      </c>
      <c r="G84" s="110">
        <v>11</v>
      </c>
      <c r="H84" s="321"/>
      <c r="I84" s="322"/>
      <c r="J84" s="111">
        <v>40</v>
      </c>
      <c r="K84" s="3">
        <f t="shared" si="3"/>
        <v>0.44</v>
      </c>
    </row>
    <row r="85" spans="1:11" x14ac:dyDescent="0.3">
      <c r="A85" s="53"/>
      <c r="B85" s="53"/>
      <c r="E85" s="109" t="s">
        <v>125</v>
      </c>
      <c r="F85" s="110">
        <v>11</v>
      </c>
      <c r="G85" s="110">
        <v>11</v>
      </c>
      <c r="H85" s="320"/>
      <c r="I85" s="279"/>
      <c r="J85" s="3">
        <v>72.27</v>
      </c>
      <c r="K85" s="3">
        <f t="shared" si="3"/>
        <v>0.79496999999999995</v>
      </c>
    </row>
    <row r="86" spans="1:11" x14ac:dyDescent="0.3">
      <c r="A86" s="53"/>
      <c r="B86" s="53"/>
      <c r="E86" s="109" t="s">
        <v>4</v>
      </c>
      <c r="F86" s="110">
        <v>5.9</v>
      </c>
      <c r="G86" s="110">
        <v>5.9</v>
      </c>
      <c r="H86" s="320"/>
      <c r="I86" s="279"/>
      <c r="J86" s="3">
        <v>174</v>
      </c>
      <c r="K86" s="3">
        <f t="shared" si="3"/>
        <v>1.0266000000000002</v>
      </c>
    </row>
    <row r="87" spans="1:11" x14ac:dyDescent="0.3">
      <c r="E87" s="109" t="s">
        <v>105</v>
      </c>
      <c r="F87" s="110">
        <v>5.9</v>
      </c>
      <c r="G87" s="110">
        <v>5.9</v>
      </c>
      <c r="H87" s="320"/>
      <c r="I87" s="279"/>
      <c r="J87" s="3">
        <v>497.15</v>
      </c>
      <c r="K87" s="3">
        <f t="shared" si="3"/>
        <v>2.9331849999999999</v>
      </c>
    </row>
    <row r="88" spans="1:11" x14ac:dyDescent="0.3">
      <c r="E88" s="109" t="s">
        <v>124</v>
      </c>
      <c r="F88" s="110">
        <v>0.46</v>
      </c>
      <c r="G88" s="110">
        <v>0.46</v>
      </c>
      <c r="H88" s="320"/>
      <c r="I88" s="279"/>
      <c r="J88" s="3">
        <v>17</v>
      </c>
      <c r="K88" s="3">
        <f t="shared" si="3"/>
        <v>7.8200000000000006E-3</v>
      </c>
    </row>
    <row r="89" spans="1:11" x14ac:dyDescent="0.3">
      <c r="E89" s="109" t="s">
        <v>104</v>
      </c>
      <c r="F89" s="110">
        <v>40.799999999999997</v>
      </c>
      <c r="G89" s="110">
        <v>40.799999999999997</v>
      </c>
      <c r="H89" s="320"/>
      <c r="I89" s="279"/>
      <c r="J89" s="3">
        <v>0</v>
      </c>
      <c r="K89" s="3">
        <f t="shared" si="3"/>
        <v>0</v>
      </c>
    </row>
    <row r="90" spans="1:11" x14ac:dyDescent="0.3">
      <c r="E90" s="109" t="s">
        <v>140</v>
      </c>
      <c r="F90" s="110">
        <v>0.05</v>
      </c>
      <c r="G90" s="110">
        <v>0.05</v>
      </c>
      <c r="H90" s="320"/>
      <c r="I90" s="279"/>
      <c r="J90" s="112"/>
      <c r="K90" s="3">
        <f t="shared" si="3"/>
        <v>0</v>
      </c>
    </row>
    <row r="91" spans="1:11" x14ac:dyDescent="0.3">
      <c r="E91" s="97" t="s">
        <v>127</v>
      </c>
      <c r="F91" s="291">
        <v>170</v>
      </c>
      <c r="G91" s="291"/>
      <c r="H91" s="320"/>
      <c r="I91" s="279"/>
      <c r="J91" s="3">
        <v>17</v>
      </c>
      <c r="K91" s="3">
        <f t="shared" si="3"/>
        <v>2.89</v>
      </c>
    </row>
    <row r="92" spans="1:11" x14ac:dyDescent="0.3">
      <c r="E92" s="113"/>
      <c r="F92" s="318"/>
      <c r="G92" s="318"/>
      <c r="H92" s="282"/>
      <c r="I92" s="282"/>
    </row>
    <row r="94" spans="1:11" x14ac:dyDescent="0.3">
      <c r="C94" s="51" t="s">
        <v>141</v>
      </c>
      <c r="D94" s="53">
        <v>200</v>
      </c>
      <c r="F94" s="283" t="s">
        <v>100</v>
      </c>
      <c r="G94" s="283"/>
      <c r="H94" s="283" t="s">
        <v>101</v>
      </c>
      <c r="I94" s="283"/>
      <c r="K94" s="44">
        <f>K95+K96</f>
        <v>1.4740500000000001</v>
      </c>
    </row>
    <row r="95" spans="1:11" x14ac:dyDescent="0.3">
      <c r="E95" s="61" t="s">
        <v>8</v>
      </c>
      <c r="F95" s="62">
        <v>0.6</v>
      </c>
      <c r="G95" s="63"/>
      <c r="H95" s="279">
        <v>0.6</v>
      </c>
      <c r="I95" s="279"/>
      <c r="J95" s="3">
        <v>650</v>
      </c>
      <c r="K95" s="3">
        <f>F95*J95/1000</f>
        <v>0.39</v>
      </c>
    </row>
    <row r="96" spans="1:11" x14ac:dyDescent="0.3">
      <c r="E96" s="64" t="s">
        <v>107</v>
      </c>
      <c r="F96" s="67">
        <v>15</v>
      </c>
      <c r="G96" s="68"/>
      <c r="H96" s="280">
        <v>15</v>
      </c>
      <c r="I96" s="281"/>
      <c r="J96" s="3">
        <v>72.27</v>
      </c>
      <c r="K96" s="3">
        <f>F96*J96/1000</f>
        <v>1.08405</v>
      </c>
    </row>
    <row r="97" spans="1:26" x14ac:dyDescent="0.3">
      <c r="E97" s="70" t="s">
        <v>108</v>
      </c>
      <c r="F97" s="286" t="s">
        <v>109</v>
      </c>
      <c r="G97" s="286"/>
      <c r="H97" s="282">
        <v>200</v>
      </c>
      <c r="I97" s="282"/>
    </row>
    <row r="99" spans="1:26" x14ac:dyDescent="0.3">
      <c r="C99" s="51" t="s">
        <v>142</v>
      </c>
      <c r="D99" s="53">
        <v>40</v>
      </c>
      <c r="J99" s="3">
        <v>54.14</v>
      </c>
      <c r="K99" s="44">
        <f>D99*J99/1000</f>
        <v>2.1656</v>
      </c>
    </row>
    <row r="100" spans="1:26" ht="16.2" thickBot="1" x14ac:dyDescent="0.35">
      <c r="A100" s="81"/>
      <c r="B100" s="81"/>
      <c r="C100" s="81"/>
      <c r="D100" s="82"/>
      <c r="E100" s="82"/>
      <c r="F100" s="82"/>
      <c r="G100" s="82"/>
      <c r="H100" s="82"/>
      <c r="I100" s="82"/>
      <c r="J100" s="83"/>
      <c r="K100" s="83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 x14ac:dyDescent="0.3">
      <c r="A101" s="51" t="s">
        <v>22</v>
      </c>
      <c r="B101" s="51" t="s">
        <v>71</v>
      </c>
      <c r="C101" s="51" t="s">
        <v>143</v>
      </c>
      <c r="D101" s="53">
        <v>100</v>
      </c>
      <c r="J101" s="114">
        <v>200</v>
      </c>
      <c r="K101" s="115">
        <f>D101*J101/1000</f>
        <v>20</v>
      </c>
    </row>
    <row r="102" spans="1:26" x14ac:dyDescent="0.3">
      <c r="A102" s="51" t="s">
        <v>144</v>
      </c>
      <c r="B102" s="116">
        <f>K104+K101+K115+K121+K127</f>
        <v>70.610643999999994</v>
      </c>
      <c r="L102" s="231"/>
      <c r="M102" s="231"/>
    </row>
    <row r="103" spans="1:26" x14ac:dyDescent="0.3">
      <c r="B103" s="51">
        <f>D101+D104+D115+D121+D127</f>
        <v>490</v>
      </c>
      <c r="L103" s="231"/>
      <c r="M103" s="231"/>
    </row>
    <row r="104" spans="1:26" x14ac:dyDescent="0.3">
      <c r="A104" s="53"/>
      <c r="B104" s="53"/>
      <c r="C104" s="51" t="s">
        <v>329</v>
      </c>
      <c r="F104" s="283" t="s">
        <v>100</v>
      </c>
      <c r="G104" s="283"/>
      <c r="H104" s="283" t="s">
        <v>101</v>
      </c>
      <c r="I104" s="283"/>
      <c r="K104" s="207">
        <f>SUM(K106:K112)</f>
        <v>41.181443999999999</v>
      </c>
      <c r="L104" s="231"/>
      <c r="M104" s="231"/>
    </row>
    <row r="105" spans="1:26" x14ac:dyDescent="0.3">
      <c r="A105" s="53"/>
      <c r="B105" s="53"/>
      <c r="E105" s="210"/>
      <c r="F105" s="279"/>
      <c r="G105" s="279"/>
      <c r="H105" s="208"/>
      <c r="I105" s="209"/>
      <c r="K105" s="3">
        <f t="shared" ref="K105:K112" si="4">J105/1000*F105</f>
        <v>0</v>
      </c>
      <c r="L105" s="242"/>
      <c r="M105" s="242"/>
    </row>
    <row r="106" spans="1:26" x14ac:dyDescent="0.3">
      <c r="A106" s="53"/>
      <c r="B106" s="53"/>
      <c r="E106" s="211" t="s">
        <v>330</v>
      </c>
      <c r="F106" s="284">
        <v>127.8</v>
      </c>
      <c r="G106" s="285"/>
      <c r="H106" s="277">
        <v>91.8</v>
      </c>
      <c r="I106" s="278"/>
      <c r="J106" s="3">
        <v>298.98</v>
      </c>
      <c r="K106" s="3">
        <f t="shared" si="4"/>
        <v>38.209644000000004</v>
      </c>
      <c r="L106" s="242"/>
      <c r="M106" s="242"/>
    </row>
    <row r="107" spans="1:26" x14ac:dyDescent="0.3">
      <c r="A107" s="53"/>
      <c r="B107" s="53"/>
      <c r="E107" s="211" t="s">
        <v>5</v>
      </c>
      <c r="F107" s="277">
        <v>10.8</v>
      </c>
      <c r="G107" s="278"/>
      <c r="H107" s="277">
        <v>10.8</v>
      </c>
      <c r="I107" s="278"/>
      <c r="J107" s="3">
        <v>152</v>
      </c>
      <c r="K107" s="3">
        <f t="shared" si="4"/>
        <v>1.6416000000000002</v>
      </c>
      <c r="L107" s="242"/>
      <c r="M107" s="242"/>
    </row>
    <row r="108" spans="1:26" x14ac:dyDescent="0.3">
      <c r="A108" s="53"/>
      <c r="B108" s="53"/>
      <c r="E108" s="211" t="s">
        <v>331</v>
      </c>
      <c r="F108" s="277">
        <v>16.2</v>
      </c>
      <c r="G108" s="278"/>
      <c r="H108" s="277">
        <v>16.2</v>
      </c>
      <c r="I108" s="278"/>
      <c r="J108" s="3">
        <v>20</v>
      </c>
      <c r="K108" s="3">
        <f t="shared" si="4"/>
        <v>0.32400000000000001</v>
      </c>
      <c r="L108" s="242"/>
      <c r="M108" s="242"/>
    </row>
    <row r="109" spans="1:26" x14ac:dyDescent="0.3">
      <c r="A109" s="53"/>
      <c r="B109" s="53"/>
      <c r="E109" s="211" t="s">
        <v>332</v>
      </c>
      <c r="F109" s="277">
        <v>5.4</v>
      </c>
      <c r="G109" s="278"/>
      <c r="H109" s="277">
        <v>5.4</v>
      </c>
      <c r="I109" s="278"/>
      <c r="J109" s="3">
        <v>37</v>
      </c>
      <c r="K109" s="3">
        <f t="shared" si="4"/>
        <v>0.19980000000000001</v>
      </c>
      <c r="L109" s="242"/>
      <c r="M109" s="242"/>
    </row>
    <row r="110" spans="1:26" x14ac:dyDescent="0.3">
      <c r="A110" s="53"/>
      <c r="B110" s="53"/>
      <c r="E110" s="211" t="s">
        <v>333</v>
      </c>
      <c r="F110" s="277">
        <v>5.4</v>
      </c>
      <c r="G110" s="278"/>
      <c r="H110" s="277">
        <v>5.4</v>
      </c>
      <c r="I110" s="278"/>
      <c r="J110" s="3">
        <v>138</v>
      </c>
      <c r="K110" s="3">
        <f t="shared" si="4"/>
        <v>0.74520000000000008</v>
      </c>
      <c r="L110" s="242"/>
      <c r="M110" s="242"/>
    </row>
    <row r="111" spans="1:26" x14ac:dyDescent="0.3">
      <c r="A111" s="53"/>
      <c r="B111" s="53"/>
      <c r="E111" s="211" t="s">
        <v>334</v>
      </c>
      <c r="F111" s="277">
        <v>3.6</v>
      </c>
      <c r="G111" s="278"/>
      <c r="H111" s="277">
        <v>3.6</v>
      </c>
      <c r="I111" s="278"/>
      <c r="J111" s="3">
        <v>17</v>
      </c>
      <c r="K111" s="3">
        <f t="shared" si="4"/>
        <v>6.1200000000000004E-2</v>
      </c>
      <c r="L111" s="242"/>
      <c r="M111" s="242"/>
    </row>
    <row r="112" spans="1:26" x14ac:dyDescent="0.3">
      <c r="A112" s="53"/>
      <c r="B112" s="53"/>
      <c r="E112" s="212" t="s">
        <v>127</v>
      </c>
      <c r="F112" s="280">
        <v>90</v>
      </c>
      <c r="G112" s="319"/>
      <c r="H112" s="319"/>
      <c r="I112" s="281"/>
      <c r="K112" s="3">
        <f t="shared" si="4"/>
        <v>0</v>
      </c>
      <c r="L112" s="242"/>
      <c r="M112" s="242"/>
    </row>
    <row r="113" spans="1:26" x14ac:dyDescent="0.3">
      <c r="A113" s="53"/>
      <c r="B113" s="53"/>
      <c r="E113" s="70"/>
      <c r="F113" s="117"/>
      <c r="G113" s="118"/>
      <c r="H113" s="282"/>
      <c r="I113" s="282"/>
      <c r="L113" s="231"/>
      <c r="M113" s="231"/>
    </row>
    <row r="115" spans="1:26" x14ac:dyDescent="0.3">
      <c r="A115" s="53"/>
      <c r="B115" s="53"/>
      <c r="C115" s="51" t="s">
        <v>148</v>
      </c>
      <c r="D115" s="53">
        <v>150</v>
      </c>
      <c r="F115" s="283" t="s">
        <v>100</v>
      </c>
      <c r="G115" s="283"/>
      <c r="H115" s="283" t="s">
        <v>101</v>
      </c>
      <c r="I115" s="283"/>
      <c r="K115" s="115">
        <f>SUM(K116:K118)</f>
        <v>4.8765499999999999</v>
      </c>
    </row>
    <row r="116" spans="1:26" x14ac:dyDescent="0.3">
      <c r="A116" s="53"/>
      <c r="B116" s="53"/>
      <c r="E116" s="61" t="s">
        <v>13</v>
      </c>
      <c r="F116" s="62">
        <v>52</v>
      </c>
      <c r="G116" s="63"/>
      <c r="H116" s="279">
        <v>52</v>
      </c>
      <c r="I116" s="279"/>
      <c r="J116" s="3">
        <v>65</v>
      </c>
      <c r="K116" s="3">
        <f>F116*J116/1000</f>
        <v>3.38</v>
      </c>
    </row>
    <row r="117" spans="1:26" x14ac:dyDescent="0.3">
      <c r="A117" s="53"/>
      <c r="B117" s="53"/>
      <c r="E117" s="61" t="s">
        <v>106</v>
      </c>
      <c r="F117" s="65">
        <v>0.3</v>
      </c>
      <c r="G117" s="66"/>
      <c r="H117" s="279">
        <v>0.3</v>
      </c>
      <c r="I117" s="279"/>
      <c r="J117" s="3">
        <v>17</v>
      </c>
      <c r="K117" s="3">
        <f>F117*J117/1000</f>
        <v>5.0999999999999995E-3</v>
      </c>
    </row>
    <row r="118" spans="1:26" x14ac:dyDescent="0.3">
      <c r="A118" s="53"/>
      <c r="B118" s="53"/>
      <c r="E118" s="61" t="s">
        <v>105</v>
      </c>
      <c r="F118" s="67">
        <v>3</v>
      </c>
      <c r="G118" s="68"/>
      <c r="H118" s="279">
        <v>3</v>
      </c>
      <c r="I118" s="279"/>
      <c r="J118" s="3">
        <v>497.15</v>
      </c>
      <c r="K118" s="3">
        <f>F118*J118/1000</f>
        <v>1.4914499999999997</v>
      </c>
    </row>
    <row r="119" spans="1:26" x14ac:dyDescent="0.3">
      <c r="E119" s="70" t="s">
        <v>108</v>
      </c>
      <c r="F119" s="117" t="s">
        <v>109</v>
      </c>
      <c r="G119" s="118"/>
      <c r="H119" s="282">
        <v>150</v>
      </c>
      <c r="I119" s="282"/>
    </row>
    <row r="121" spans="1:26" x14ac:dyDescent="0.3">
      <c r="C121" s="51" t="s">
        <v>149</v>
      </c>
      <c r="D121" s="53">
        <v>200</v>
      </c>
      <c r="F121" s="283" t="s">
        <v>100</v>
      </c>
      <c r="G121" s="283"/>
      <c r="H121" s="283" t="s">
        <v>101</v>
      </c>
      <c r="I121" s="283"/>
      <c r="K121" s="115">
        <f>SUM(K122:K124)</f>
        <v>2.5490500000000003</v>
      </c>
    </row>
    <row r="122" spans="1:26" x14ac:dyDescent="0.3">
      <c r="E122" s="61" t="s">
        <v>8</v>
      </c>
      <c r="F122" s="62">
        <v>0.6</v>
      </c>
      <c r="G122" s="63"/>
      <c r="H122" s="279">
        <v>0.6</v>
      </c>
      <c r="I122" s="279"/>
      <c r="J122" s="3">
        <v>650</v>
      </c>
      <c r="K122" s="3">
        <f>F122*J122/1000</f>
        <v>0.39</v>
      </c>
    </row>
    <row r="123" spans="1:26" x14ac:dyDescent="0.3">
      <c r="E123" s="64" t="s">
        <v>107</v>
      </c>
      <c r="F123" s="65">
        <v>15</v>
      </c>
      <c r="G123" s="66"/>
      <c r="H123" s="280">
        <v>15</v>
      </c>
      <c r="I123" s="281"/>
      <c r="J123" s="3">
        <v>72.27</v>
      </c>
      <c r="K123" s="3">
        <f>F123*J123/1000</f>
        <v>1.08405</v>
      </c>
    </row>
    <row r="124" spans="1:26" x14ac:dyDescent="0.3">
      <c r="E124" s="64" t="s">
        <v>150</v>
      </c>
      <c r="F124" s="67">
        <v>5</v>
      </c>
      <c r="G124" s="68"/>
      <c r="H124" s="280">
        <v>4</v>
      </c>
      <c r="I124" s="281"/>
      <c r="J124" s="3">
        <v>215</v>
      </c>
      <c r="K124" s="3">
        <f>F124*J124/1000</f>
        <v>1.075</v>
      </c>
    </row>
    <row r="125" spans="1:26" x14ac:dyDescent="0.3">
      <c r="E125" s="70" t="s">
        <v>108</v>
      </c>
      <c r="F125" s="286" t="s">
        <v>109</v>
      </c>
      <c r="G125" s="286"/>
      <c r="H125" s="286" t="s">
        <v>151</v>
      </c>
      <c r="I125" s="286"/>
    </row>
    <row r="127" spans="1:26" x14ac:dyDescent="0.3">
      <c r="C127" s="51" t="s">
        <v>112</v>
      </c>
      <c r="D127" s="53">
        <v>40</v>
      </c>
      <c r="J127" s="3">
        <v>50.09</v>
      </c>
      <c r="K127" s="115">
        <f>J127*D127/1000</f>
        <v>2.0036</v>
      </c>
    </row>
    <row r="128" spans="1:26" ht="16.2" thickBot="1" x14ac:dyDescent="0.35">
      <c r="A128" s="81"/>
      <c r="B128" s="81"/>
      <c r="C128" s="81"/>
      <c r="D128" s="82"/>
      <c r="E128" s="82"/>
      <c r="F128" s="82"/>
      <c r="G128" s="82"/>
      <c r="H128" s="82"/>
      <c r="I128" s="82"/>
      <c r="J128" s="83"/>
      <c r="K128" s="83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11" x14ac:dyDescent="0.3">
      <c r="A129" s="51" t="s">
        <v>23</v>
      </c>
      <c r="B129" s="51" t="s">
        <v>71</v>
      </c>
      <c r="C129" s="86"/>
      <c r="D129" s="87"/>
      <c r="E129" s="87"/>
      <c r="F129" s="317"/>
      <c r="G129" s="317"/>
      <c r="H129" s="317"/>
      <c r="I129" s="317"/>
      <c r="J129" s="31"/>
      <c r="K129" s="114"/>
    </row>
    <row r="130" spans="1:11" x14ac:dyDescent="0.3">
      <c r="A130" s="51" t="s">
        <v>152</v>
      </c>
      <c r="B130" s="119">
        <f>K130+K135+K137+K146+K148+K150</f>
        <v>50.242750999999991</v>
      </c>
      <c r="C130" s="226" t="s">
        <v>341</v>
      </c>
      <c r="D130" s="227">
        <v>40</v>
      </c>
      <c r="E130" s="226" t="s">
        <v>335</v>
      </c>
      <c r="F130" s="229">
        <v>40</v>
      </c>
      <c r="G130" s="229"/>
      <c r="H130" s="227"/>
      <c r="I130" s="227"/>
      <c r="J130" s="230">
        <v>140</v>
      </c>
      <c r="K130" s="84">
        <f>F130*J130/1000</f>
        <v>5.6</v>
      </c>
    </row>
    <row r="131" spans="1:11" x14ac:dyDescent="0.3">
      <c r="B131" s="51">
        <f>D130+D135+D137+D148+D146+D150</f>
        <v>580</v>
      </c>
      <c r="C131" s="86"/>
      <c r="D131" s="87"/>
      <c r="E131" s="120"/>
      <c r="F131" s="314"/>
      <c r="G131" s="314"/>
      <c r="H131" s="315"/>
      <c r="I131" s="315"/>
      <c r="J131" s="31"/>
      <c r="K131" s="31"/>
    </row>
    <row r="132" spans="1:11" hidden="1" x14ac:dyDescent="0.3">
      <c r="F132" s="316"/>
      <c r="G132" s="316"/>
      <c r="H132" s="316"/>
      <c r="I132" s="316"/>
    </row>
    <row r="133" spans="1:11" hidden="1" x14ac:dyDescent="0.3">
      <c r="E133" s="121"/>
      <c r="F133" s="313"/>
      <c r="G133" s="313"/>
      <c r="K133" s="122">
        <f>F133*J133/1000</f>
        <v>0</v>
      </c>
    </row>
    <row r="134" spans="1:11" hidden="1" x14ac:dyDescent="0.3">
      <c r="F134" s="316"/>
      <c r="G134" s="316"/>
      <c r="H134" s="316"/>
      <c r="I134" s="316"/>
    </row>
    <row r="135" spans="1:11" hidden="1" x14ac:dyDescent="0.3">
      <c r="A135" s="53"/>
      <c r="B135" s="53"/>
      <c r="C135" s="123"/>
      <c r="D135" s="124"/>
      <c r="E135" s="121"/>
      <c r="F135" s="313"/>
      <c r="G135" s="313"/>
      <c r="H135" s="313"/>
      <c r="I135" s="313"/>
      <c r="K135" s="122"/>
    </row>
    <row r="137" spans="1:11" x14ac:dyDescent="0.3">
      <c r="A137" s="53"/>
      <c r="B137" s="53"/>
      <c r="C137" s="51" t="s">
        <v>153</v>
      </c>
      <c r="D137" s="53">
        <v>200</v>
      </c>
      <c r="F137" s="283" t="s">
        <v>100</v>
      </c>
      <c r="G137" s="283"/>
      <c r="H137" s="283" t="s">
        <v>101</v>
      </c>
      <c r="I137" s="283"/>
      <c r="K137" s="122">
        <f>SUM(K138:K143)</f>
        <v>34.286700999999994</v>
      </c>
    </row>
    <row r="138" spans="1:11" x14ac:dyDescent="0.3">
      <c r="A138" s="53"/>
      <c r="B138" s="53"/>
      <c r="E138" s="61" t="s">
        <v>154</v>
      </c>
      <c r="F138" s="62">
        <v>137.94</v>
      </c>
      <c r="G138" s="63"/>
      <c r="H138" s="279">
        <f t="shared" ref="H138:H142" si="5">F138</f>
        <v>137.94</v>
      </c>
      <c r="I138" s="279"/>
      <c r="J138" s="3">
        <v>140</v>
      </c>
      <c r="K138" s="3">
        <f t="shared" ref="K138:K143" si="6">F138*J138/1000</f>
        <v>19.311599999999999</v>
      </c>
    </row>
    <row r="139" spans="1:11" x14ac:dyDescent="0.3">
      <c r="A139" s="53"/>
      <c r="B139" s="53"/>
      <c r="E139" s="64" t="s">
        <v>103</v>
      </c>
      <c r="F139" s="65">
        <v>51.72</v>
      </c>
      <c r="G139" s="66"/>
      <c r="H139" s="279">
        <f t="shared" si="5"/>
        <v>51.72</v>
      </c>
      <c r="I139" s="279"/>
      <c r="J139" s="3">
        <v>57.5</v>
      </c>
      <c r="K139" s="3">
        <f t="shared" si="6"/>
        <v>2.9739</v>
      </c>
    </row>
    <row r="140" spans="1:11" x14ac:dyDescent="0.3">
      <c r="A140" s="53"/>
      <c r="B140" s="53"/>
      <c r="E140" s="64" t="s">
        <v>105</v>
      </c>
      <c r="F140" s="65">
        <v>6.9</v>
      </c>
      <c r="G140" s="66"/>
      <c r="H140" s="279">
        <f t="shared" si="5"/>
        <v>6.9</v>
      </c>
      <c r="I140" s="279"/>
      <c r="J140" s="3">
        <v>497.15</v>
      </c>
      <c r="K140" s="3">
        <f t="shared" si="6"/>
        <v>3.4303349999999999</v>
      </c>
    </row>
    <row r="141" spans="1:11" x14ac:dyDescent="0.3">
      <c r="A141" s="53"/>
      <c r="B141" s="53"/>
      <c r="E141" s="64" t="s">
        <v>116</v>
      </c>
      <c r="F141" s="65">
        <v>51.72</v>
      </c>
      <c r="G141" s="66"/>
      <c r="H141" s="279">
        <f t="shared" si="5"/>
        <v>51.72</v>
      </c>
      <c r="I141" s="279"/>
      <c r="K141" s="3">
        <f t="shared" si="6"/>
        <v>0</v>
      </c>
    </row>
    <row r="142" spans="1:11" x14ac:dyDescent="0.3">
      <c r="A142" s="53"/>
      <c r="B142" s="53"/>
      <c r="E142" s="64" t="s">
        <v>105</v>
      </c>
      <c r="F142" s="125">
        <v>17.239999999999998</v>
      </c>
      <c r="G142" s="126"/>
      <c r="H142" s="279">
        <f t="shared" si="5"/>
        <v>17.239999999999998</v>
      </c>
      <c r="I142" s="279"/>
      <c r="J142" s="3">
        <v>497.15</v>
      </c>
      <c r="K142" s="3">
        <f t="shared" si="6"/>
        <v>8.5708659999999988</v>
      </c>
    </row>
    <row r="143" spans="1:11" x14ac:dyDescent="0.3">
      <c r="A143" s="53"/>
      <c r="B143" s="53"/>
      <c r="E143" s="61"/>
      <c r="F143" s="279"/>
      <c r="G143" s="279"/>
      <c r="H143" s="279"/>
      <c r="I143" s="279"/>
      <c r="K143" s="3">
        <f t="shared" si="6"/>
        <v>0</v>
      </c>
    </row>
    <row r="144" spans="1:11" x14ac:dyDescent="0.3">
      <c r="A144" s="53"/>
      <c r="B144" s="53"/>
      <c r="E144" s="70" t="s">
        <v>108</v>
      </c>
      <c r="F144" s="286" t="s">
        <v>109</v>
      </c>
      <c r="G144" s="286"/>
      <c r="H144" s="282">
        <v>200</v>
      </c>
      <c r="I144" s="282"/>
    </row>
    <row r="145" spans="1:11" x14ac:dyDescent="0.3">
      <c r="A145" s="53"/>
      <c r="B145" s="53"/>
      <c r="F145" s="283" t="s">
        <v>100</v>
      </c>
      <c r="G145" s="283"/>
      <c r="H145" s="283" t="s">
        <v>101</v>
      </c>
      <c r="I145" s="283"/>
    </row>
    <row r="146" spans="1:11" x14ac:dyDescent="0.3">
      <c r="A146" s="53"/>
      <c r="B146" s="53"/>
      <c r="C146" s="51" t="s">
        <v>155</v>
      </c>
      <c r="D146" s="53">
        <v>100</v>
      </c>
      <c r="E146" s="61" t="s">
        <v>50</v>
      </c>
      <c r="F146" s="62">
        <v>100</v>
      </c>
      <c r="G146" s="63"/>
      <c r="H146" s="279">
        <v>100</v>
      </c>
      <c r="I146" s="279"/>
      <c r="J146" s="3">
        <v>65</v>
      </c>
      <c r="K146" s="122">
        <f>F146*J146/1000</f>
        <v>6.5</v>
      </c>
    </row>
    <row r="148" spans="1:11" x14ac:dyDescent="0.3">
      <c r="A148" s="53"/>
      <c r="B148" s="53"/>
      <c r="C148" s="51" t="s">
        <v>142</v>
      </c>
      <c r="D148" s="53">
        <v>40</v>
      </c>
      <c r="J148" s="3">
        <v>59.55</v>
      </c>
      <c r="K148" s="122">
        <f>D148*J148/1000</f>
        <v>2.3820000000000001</v>
      </c>
    </row>
    <row r="150" spans="1:11" x14ac:dyDescent="0.3">
      <c r="A150" s="53"/>
      <c r="B150" s="53"/>
      <c r="C150" s="51" t="s">
        <v>141</v>
      </c>
      <c r="D150" s="53">
        <v>200</v>
      </c>
      <c r="F150" s="283" t="s">
        <v>100</v>
      </c>
      <c r="G150" s="283"/>
      <c r="H150" s="283" t="s">
        <v>101</v>
      </c>
      <c r="I150" s="283"/>
      <c r="K150" s="122">
        <f>K151+K152</f>
        <v>1.4740500000000001</v>
      </c>
    </row>
    <row r="151" spans="1:11" x14ac:dyDescent="0.3">
      <c r="E151" s="61" t="s">
        <v>8</v>
      </c>
      <c r="F151" s="62">
        <v>0.6</v>
      </c>
      <c r="G151" s="63"/>
      <c r="H151" s="279">
        <v>0.6</v>
      </c>
      <c r="I151" s="279"/>
      <c r="J151" s="3">
        <v>650</v>
      </c>
      <c r="K151" s="3">
        <f>J151*F151/1000</f>
        <v>0.39</v>
      </c>
    </row>
    <row r="152" spans="1:11" x14ac:dyDescent="0.3">
      <c r="E152" s="64" t="s">
        <v>107</v>
      </c>
      <c r="F152" s="67">
        <v>15</v>
      </c>
      <c r="G152" s="68"/>
      <c r="H152" s="280">
        <v>15</v>
      </c>
      <c r="I152" s="281"/>
      <c r="J152" s="3">
        <v>72.27</v>
      </c>
      <c r="K152" s="3">
        <f>J152*F152/1000</f>
        <v>1.08405</v>
      </c>
    </row>
    <row r="153" spans="1:11" x14ac:dyDescent="0.3">
      <c r="E153" s="70" t="s">
        <v>108</v>
      </c>
      <c r="F153" s="286" t="s">
        <v>109</v>
      </c>
      <c r="G153" s="286"/>
      <c r="H153" s="282">
        <v>200</v>
      </c>
      <c r="I153" s="282"/>
    </row>
    <row r="156" spans="1:11" hidden="1" x14ac:dyDescent="0.3">
      <c r="A156" s="107" t="s">
        <v>24</v>
      </c>
      <c r="B156" s="107" t="s">
        <v>71</v>
      </c>
      <c r="C156" s="107"/>
      <c r="D156" s="127"/>
      <c r="E156" s="127"/>
      <c r="F156" s="127"/>
      <c r="G156" s="127"/>
      <c r="H156" s="127"/>
      <c r="I156" s="127"/>
      <c r="J156" s="112"/>
      <c r="K156" s="112"/>
    </row>
    <row r="157" spans="1:11" hidden="1" x14ac:dyDescent="0.3">
      <c r="A157" s="107" t="s">
        <v>156</v>
      </c>
      <c r="B157" s="128">
        <f>K157+K159+K171+K178+K180</f>
        <v>67.155680000000004</v>
      </c>
      <c r="C157" s="107" t="s">
        <v>157</v>
      </c>
      <c r="D157" s="127"/>
      <c r="E157" s="129" t="s">
        <v>158</v>
      </c>
      <c r="F157" s="311">
        <v>102</v>
      </c>
      <c r="G157" s="311"/>
      <c r="H157" s="311">
        <v>100</v>
      </c>
      <c r="I157" s="311"/>
      <c r="J157" s="112">
        <v>105</v>
      </c>
      <c r="K157" s="112">
        <f>F157*J157/1000</f>
        <v>10.71</v>
      </c>
    </row>
    <row r="158" spans="1:11" hidden="1" x14ac:dyDescent="0.3">
      <c r="A158" s="107"/>
      <c r="B158" s="107"/>
      <c r="C158" s="107"/>
      <c r="D158" s="127"/>
      <c r="E158" s="127"/>
      <c r="F158" s="127"/>
      <c r="G158" s="127"/>
      <c r="H158" s="127"/>
      <c r="I158" s="127"/>
      <c r="J158" s="112"/>
      <c r="K158" s="112"/>
    </row>
    <row r="159" spans="1:11" hidden="1" x14ac:dyDescent="0.3">
      <c r="A159" s="107"/>
      <c r="B159" s="107"/>
      <c r="C159" s="107" t="s">
        <v>159</v>
      </c>
      <c r="D159" s="127">
        <v>90</v>
      </c>
      <c r="E159" s="127"/>
      <c r="F159" s="312" t="s">
        <v>100</v>
      </c>
      <c r="G159" s="312"/>
      <c r="H159" s="312" t="s">
        <v>101</v>
      </c>
      <c r="I159" s="312"/>
      <c r="J159" s="112"/>
      <c r="K159" s="112">
        <f>SUM(K160:K168)</f>
        <v>38.222900000000003</v>
      </c>
    </row>
    <row r="160" spans="1:11" hidden="1" x14ac:dyDescent="0.3">
      <c r="A160" s="107"/>
      <c r="B160" s="107"/>
      <c r="C160" s="107"/>
      <c r="D160" s="127"/>
      <c r="E160" s="129" t="s">
        <v>145</v>
      </c>
      <c r="F160" s="311">
        <f>50*H169/90</f>
        <v>50</v>
      </c>
      <c r="G160" s="311"/>
      <c r="H160" s="311">
        <f>42*H169/90</f>
        <v>42</v>
      </c>
      <c r="I160" s="311"/>
      <c r="J160" s="112">
        <v>548</v>
      </c>
      <c r="K160" s="112">
        <f t="shared" ref="K160:K168" si="7">F160*J160/1000</f>
        <v>27.4</v>
      </c>
    </row>
    <row r="161" spans="1:11" hidden="1" x14ac:dyDescent="0.3">
      <c r="A161" s="107"/>
      <c r="B161" s="107"/>
      <c r="C161" s="107"/>
      <c r="D161" s="127"/>
      <c r="E161" s="130" t="s">
        <v>160</v>
      </c>
      <c r="F161" s="309">
        <f>24*H169/90</f>
        <v>24</v>
      </c>
      <c r="G161" s="310"/>
      <c r="H161" s="309">
        <f>20*H169/90</f>
        <v>20</v>
      </c>
      <c r="I161" s="310"/>
      <c r="J161" s="112">
        <v>330</v>
      </c>
      <c r="K161" s="112">
        <f t="shared" si="7"/>
        <v>7.92</v>
      </c>
    </row>
    <row r="162" spans="1:11" hidden="1" x14ac:dyDescent="0.3">
      <c r="A162" s="107"/>
      <c r="B162" s="107"/>
      <c r="C162" s="107"/>
      <c r="D162" s="127"/>
      <c r="E162" s="130" t="s">
        <v>161</v>
      </c>
      <c r="F162" s="309">
        <f>13.5*H169/90</f>
        <v>13.5</v>
      </c>
      <c r="G162" s="310"/>
      <c r="H162" s="309">
        <f>F162</f>
        <v>13.5</v>
      </c>
      <c r="I162" s="310"/>
      <c r="J162" s="112">
        <v>45.54</v>
      </c>
      <c r="K162" s="112">
        <f t="shared" si="7"/>
        <v>0.61478999999999995</v>
      </c>
    </row>
    <row r="163" spans="1:11" hidden="1" x14ac:dyDescent="0.3">
      <c r="A163" s="107"/>
      <c r="B163" s="107"/>
      <c r="C163" s="107"/>
      <c r="D163" s="127"/>
      <c r="E163" s="130" t="s">
        <v>146</v>
      </c>
      <c r="F163" s="309">
        <f>4*H169/90</f>
        <v>4</v>
      </c>
      <c r="G163" s="310"/>
      <c r="H163" s="309">
        <f t="shared" ref="H163:H168" si="8">F163</f>
        <v>4</v>
      </c>
      <c r="I163" s="310"/>
      <c r="J163" s="112">
        <v>140</v>
      </c>
      <c r="K163" s="112">
        <f t="shared" si="7"/>
        <v>0.56000000000000005</v>
      </c>
    </row>
    <row r="164" spans="1:11" hidden="1" x14ac:dyDescent="0.3">
      <c r="A164" s="107"/>
      <c r="B164" s="107"/>
      <c r="C164" s="107"/>
      <c r="D164" s="127"/>
      <c r="E164" s="130" t="s">
        <v>162</v>
      </c>
      <c r="F164" s="309">
        <f>3.5*H169/90</f>
        <v>3.5</v>
      </c>
      <c r="G164" s="310"/>
      <c r="H164" s="309">
        <f t="shared" si="8"/>
        <v>3.5</v>
      </c>
      <c r="I164" s="310"/>
      <c r="J164" s="112">
        <v>20</v>
      </c>
      <c r="K164" s="112">
        <f t="shared" si="7"/>
        <v>7.0000000000000007E-2</v>
      </c>
    </row>
    <row r="165" spans="1:11" hidden="1" x14ac:dyDescent="0.3">
      <c r="A165" s="107"/>
      <c r="B165" s="107"/>
      <c r="C165" s="107"/>
      <c r="D165" s="127"/>
      <c r="E165" s="130" t="s">
        <v>103</v>
      </c>
      <c r="F165" s="309">
        <f>13*H169/90</f>
        <v>13</v>
      </c>
      <c r="G165" s="310"/>
      <c r="H165" s="309">
        <f t="shared" si="8"/>
        <v>13</v>
      </c>
      <c r="I165" s="310"/>
      <c r="J165" s="112">
        <v>48.17</v>
      </c>
      <c r="K165" s="112">
        <f t="shared" si="7"/>
        <v>0.62621000000000004</v>
      </c>
    </row>
    <row r="166" spans="1:11" hidden="1" x14ac:dyDescent="0.3">
      <c r="A166" s="107"/>
      <c r="B166" s="107"/>
      <c r="C166" s="107"/>
      <c r="D166" s="127"/>
      <c r="E166" s="129" t="s">
        <v>118</v>
      </c>
      <c r="F166" s="311">
        <f>4*H169/90</f>
        <v>4</v>
      </c>
      <c r="G166" s="311"/>
      <c r="H166" s="309">
        <f t="shared" si="8"/>
        <v>4</v>
      </c>
      <c r="I166" s="310"/>
      <c r="J166" s="112">
        <v>150</v>
      </c>
      <c r="K166" s="112">
        <f t="shared" si="7"/>
        <v>0.6</v>
      </c>
    </row>
    <row r="167" spans="1:11" hidden="1" x14ac:dyDescent="0.3">
      <c r="A167" s="107"/>
      <c r="B167" s="107"/>
      <c r="C167" s="107"/>
      <c r="D167" s="127"/>
      <c r="E167" s="129" t="s">
        <v>106</v>
      </c>
      <c r="F167" s="311">
        <f>0.7*H169/90</f>
        <v>0.7</v>
      </c>
      <c r="G167" s="311"/>
      <c r="H167" s="309">
        <f t="shared" si="8"/>
        <v>0.7</v>
      </c>
      <c r="I167" s="310"/>
      <c r="J167" s="112">
        <v>17</v>
      </c>
      <c r="K167" s="112">
        <f t="shared" si="7"/>
        <v>1.1899999999999999E-2</v>
      </c>
    </row>
    <row r="168" spans="1:11" hidden="1" x14ac:dyDescent="0.3">
      <c r="A168" s="107"/>
      <c r="B168" s="107"/>
      <c r="C168" s="107"/>
      <c r="D168" s="127"/>
      <c r="E168" s="130" t="s">
        <v>147</v>
      </c>
      <c r="F168" s="309">
        <f>3*H169/90</f>
        <v>3</v>
      </c>
      <c r="G168" s="310"/>
      <c r="H168" s="309">
        <f t="shared" si="8"/>
        <v>3</v>
      </c>
      <c r="I168" s="310"/>
      <c r="J168" s="112">
        <v>140</v>
      </c>
      <c r="K168" s="112">
        <f t="shared" si="7"/>
        <v>0.42</v>
      </c>
    </row>
    <row r="169" spans="1:11" hidden="1" x14ac:dyDescent="0.3">
      <c r="A169" s="107"/>
      <c r="B169" s="107"/>
      <c r="C169" s="107"/>
      <c r="D169" s="127"/>
      <c r="E169" s="131" t="s">
        <v>108</v>
      </c>
      <c r="F169" s="306" t="s">
        <v>109</v>
      </c>
      <c r="G169" s="306"/>
      <c r="H169" s="307">
        <v>90</v>
      </c>
      <c r="I169" s="307"/>
      <c r="J169" s="112"/>
      <c r="K169" s="112"/>
    </row>
    <row r="170" spans="1:11" hidden="1" x14ac:dyDescent="0.3">
      <c r="A170" s="107"/>
      <c r="B170" s="107"/>
      <c r="C170" s="107"/>
      <c r="D170" s="127"/>
      <c r="E170" s="127"/>
      <c r="F170" s="127"/>
      <c r="G170" s="127"/>
      <c r="H170" s="127"/>
      <c r="I170" s="127"/>
      <c r="J170" s="112"/>
      <c r="K170" s="112"/>
    </row>
    <row r="171" spans="1:11" hidden="1" x14ac:dyDescent="0.3">
      <c r="A171" s="107"/>
      <c r="B171" s="107"/>
      <c r="C171" s="107" t="s">
        <v>163</v>
      </c>
      <c r="D171" s="127">
        <v>150</v>
      </c>
      <c r="E171" s="127"/>
      <c r="F171" s="312" t="s">
        <v>100</v>
      </c>
      <c r="G171" s="312"/>
      <c r="H171" s="312" t="s">
        <v>101</v>
      </c>
      <c r="I171" s="312"/>
      <c r="J171" s="112"/>
      <c r="K171" s="112">
        <f>SUM(K172:K175)</f>
        <v>7.4011799999999992</v>
      </c>
    </row>
    <row r="172" spans="1:11" hidden="1" x14ac:dyDescent="0.3">
      <c r="A172" s="107"/>
      <c r="B172" s="107"/>
      <c r="C172" s="107"/>
      <c r="D172" s="127"/>
      <c r="E172" s="129" t="s">
        <v>164</v>
      </c>
      <c r="F172" s="311">
        <f>170*H176/150</f>
        <v>170</v>
      </c>
      <c r="G172" s="311"/>
      <c r="H172" s="311">
        <f>128*H176/150</f>
        <v>128</v>
      </c>
      <c r="I172" s="311"/>
      <c r="J172" s="112">
        <v>27</v>
      </c>
      <c r="K172" s="112">
        <f>F172*J172/1000</f>
        <v>4.59</v>
      </c>
    </row>
    <row r="173" spans="1:11" hidden="1" x14ac:dyDescent="0.3">
      <c r="A173" s="107"/>
      <c r="B173" s="107"/>
      <c r="C173" s="107"/>
      <c r="D173" s="127"/>
      <c r="E173" s="130" t="s">
        <v>103</v>
      </c>
      <c r="F173" s="309">
        <f>24*H176/150</f>
        <v>24</v>
      </c>
      <c r="G173" s="310"/>
      <c r="H173" s="309">
        <f>24*H176/150</f>
        <v>24</v>
      </c>
      <c r="I173" s="310"/>
      <c r="J173" s="112">
        <v>48.17</v>
      </c>
      <c r="K173" s="112">
        <f>F173*J173/1000</f>
        <v>1.15608</v>
      </c>
    </row>
    <row r="174" spans="1:11" hidden="1" x14ac:dyDescent="0.3">
      <c r="A174" s="107"/>
      <c r="B174" s="107"/>
      <c r="C174" s="107"/>
      <c r="D174" s="127"/>
      <c r="E174" s="130" t="s">
        <v>105</v>
      </c>
      <c r="F174" s="309">
        <f>3*H176/150</f>
        <v>3</v>
      </c>
      <c r="G174" s="310"/>
      <c r="H174" s="309">
        <f>3*H176/150</f>
        <v>3</v>
      </c>
      <c r="I174" s="310"/>
      <c r="J174" s="112">
        <v>550</v>
      </c>
      <c r="K174" s="112">
        <f>F174*J174/1000</f>
        <v>1.65</v>
      </c>
    </row>
    <row r="175" spans="1:11" hidden="1" x14ac:dyDescent="0.3">
      <c r="A175" s="107"/>
      <c r="B175" s="107"/>
      <c r="C175" s="107"/>
      <c r="D175" s="127"/>
      <c r="E175" s="129" t="s">
        <v>106</v>
      </c>
      <c r="F175" s="311">
        <f>0.3*H176/150</f>
        <v>0.3</v>
      </c>
      <c r="G175" s="311"/>
      <c r="H175" s="311">
        <f>0.3*H176/150</f>
        <v>0.3</v>
      </c>
      <c r="I175" s="311"/>
      <c r="J175" s="112">
        <v>17</v>
      </c>
      <c r="K175" s="112">
        <f>F175*J175/1000</f>
        <v>5.0999999999999995E-3</v>
      </c>
    </row>
    <row r="176" spans="1:11" hidden="1" x14ac:dyDescent="0.3">
      <c r="A176" s="107"/>
      <c r="B176" s="107"/>
      <c r="C176" s="107"/>
      <c r="D176" s="127"/>
      <c r="E176" s="131" t="s">
        <v>108</v>
      </c>
      <c r="F176" s="306" t="s">
        <v>109</v>
      </c>
      <c r="G176" s="306"/>
      <c r="H176" s="307">
        <v>150</v>
      </c>
      <c r="I176" s="307"/>
      <c r="J176" s="112"/>
      <c r="K176" s="112"/>
    </row>
    <row r="177" spans="1:26" hidden="1" x14ac:dyDescent="0.3">
      <c r="A177" s="107"/>
      <c r="B177" s="107"/>
      <c r="C177" s="107"/>
      <c r="D177" s="127"/>
      <c r="E177" s="127"/>
      <c r="F177" s="127"/>
      <c r="G177" s="127"/>
      <c r="H177" s="127"/>
      <c r="I177" s="127"/>
      <c r="J177" s="112"/>
      <c r="K177" s="112"/>
    </row>
    <row r="178" spans="1:26" hidden="1" x14ac:dyDescent="0.3">
      <c r="A178" s="107"/>
      <c r="B178" s="107"/>
      <c r="C178" s="107" t="s">
        <v>165</v>
      </c>
      <c r="D178" s="127">
        <v>200</v>
      </c>
      <c r="E178" s="129" t="s">
        <v>166</v>
      </c>
      <c r="F178" s="308">
        <v>200</v>
      </c>
      <c r="G178" s="308"/>
      <c r="H178" s="308">
        <v>200</v>
      </c>
      <c r="I178" s="308"/>
      <c r="J178" s="112">
        <v>45</v>
      </c>
      <c r="K178" s="112">
        <f>F178*J178/1000</f>
        <v>9</v>
      </c>
    </row>
    <row r="179" spans="1:26" hidden="1" x14ac:dyDescent="0.3">
      <c r="A179" s="107"/>
      <c r="B179" s="107"/>
      <c r="C179" s="107"/>
      <c r="D179" s="127"/>
      <c r="E179" s="127"/>
      <c r="F179" s="127"/>
      <c r="G179" s="127"/>
      <c r="H179" s="127"/>
      <c r="I179" s="127"/>
      <c r="J179" s="112"/>
      <c r="K179" s="112"/>
    </row>
    <row r="180" spans="1:26" hidden="1" x14ac:dyDescent="0.3">
      <c r="A180" s="107"/>
      <c r="B180" s="107"/>
      <c r="C180" s="107" t="s">
        <v>112</v>
      </c>
      <c r="D180" s="127">
        <v>40</v>
      </c>
      <c r="E180" s="127"/>
      <c r="F180" s="127"/>
      <c r="G180" s="127"/>
      <c r="H180" s="127"/>
      <c r="I180" s="127"/>
      <c r="J180" s="112">
        <v>45.54</v>
      </c>
      <c r="K180" s="112">
        <f>D180*J180/1000</f>
        <v>1.8215999999999999</v>
      </c>
    </row>
    <row r="181" spans="1:26" ht="16.2" thickBot="1" x14ac:dyDescent="0.35">
      <c r="A181" s="81"/>
      <c r="B181" s="81"/>
      <c r="C181" s="81"/>
      <c r="D181" s="82"/>
      <c r="E181" s="82"/>
      <c r="F181" s="82"/>
      <c r="G181" s="82"/>
      <c r="H181" s="82"/>
      <c r="I181" s="82"/>
      <c r="J181" s="83"/>
      <c r="K181" s="83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 x14ac:dyDescent="0.3">
      <c r="A182" s="51">
        <v>6</v>
      </c>
      <c r="B182" s="51" t="s">
        <v>71</v>
      </c>
    </row>
    <row r="183" spans="1:26" x14ac:dyDescent="0.3">
      <c r="A183" s="53" t="s">
        <v>95</v>
      </c>
      <c r="B183" s="132">
        <f>K183+K185+K187+K195+K202</f>
        <v>53.598919999999993</v>
      </c>
      <c r="C183" s="51" t="s">
        <v>167</v>
      </c>
      <c r="D183" s="53">
        <v>100</v>
      </c>
      <c r="E183" s="61" t="s">
        <v>168</v>
      </c>
      <c r="F183" s="133">
        <v>100</v>
      </c>
      <c r="G183" s="134"/>
      <c r="H183" s="279">
        <v>100</v>
      </c>
      <c r="I183" s="279"/>
      <c r="J183" s="3">
        <v>140</v>
      </c>
      <c r="K183" s="135">
        <f>F183*J183/1000</f>
        <v>14</v>
      </c>
    </row>
    <row r="184" spans="1:26" x14ac:dyDescent="0.3">
      <c r="B184" s="51">
        <f>D183+D185+D187+D195+D202</f>
        <v>560</v>
      </c>
    </row>
    <row r="185" spans="1:26" x14ac:dyDescent="0.3">
      <c r="A185" s="53"/>
      <c r="C185" s="51" t="s">
        <v>169</v>
      </c>
      <c r="D185" s="53">
        <v>20</v>
      </c>
      <c r="E185" s="61" t="s">
        <v>170</v>
      </c>
      <c r="F185" s="133">
        <v>21</v>
      </c>
      <c r="G185" s="134"/>
      <c r="H185" s="279">
        <v>20</v>
      </c>
      <c r="I185" s="279"/>
      <c r="J185" s="3">
        <v>498</v>
      </c>
      <c r="K185" s="135">
        <f>F185*J185/1000</f>
        <v>10.458</v>
      </c>
    </row>
    <row r="187" spans="1:26" x14ac:dyDescent="0.3">
      <c r="A187" s="53"/>
      <c r="C187" s="51" t="s">
        <v>171</v>
      </c>
      <c r="D187" s="53">
        <v>200</v>
      </c>
      <c r="F187" s="136" t="s">
        <v>100</v>
      </c>
      <c r="G187" s="137"/>
      <c r="H187" s="283" t="s">
        <v>101</v>
      </c>
      <c r="I187" s="283"/>
      <c r="K187" s="135">
        <f>SUM(K188:K192)</f>
        <v>19.177870000000002</v>
      </c>
    </row>
    <row r="188" spans="1:26" x14ac:dyDescent="0.3">
      <c r="A188" s="53"/>
      <c r="E188" s="61" t="s">
        <v>36</v>
      </c>
      <c r="F188" s="62">
        <f>50*H193/200</f>
        <v>50</v>
      </c>
      <c r="G188" s="63"/>
      <c r="H188" s="279">
        <f>F188</f>
        <v>50</v>
      </c>
      <c r="I188" s="279"/>
      <c r="J188" s="3">
        <v>95</v>
      </c>
      <c r="K188" s="3">
        <f>F188*J188/1000</f>
        <v>4.75</v>
      </c>
    </row>
    <row r="189" spans="1:26" x14ac:dyDescent="0.3">
      <c r="A189" s="53"/>
      <c r="E189" s="64" t="s">
        <v>103</v>
      </c>
      <c r="F189" s="65">
        <f>200*H193/200</f>
        <v>200</v>
      </c>
      <c r="G189" s="66"/>
      <c r="H189" s="280">
        <f>F189</f>
        <v>200</v>
      </c>
      <c r="I189" s="281"/>
      <c r="J189" s="3">
        <v>57.5</v>
      </c>
      <c r="K189" s="3">
        <f>F189*J189/1000</f>
        <v>11.5</v>
      </c>
    </row>
    <row r="190" spans="1:26" x14ac:dyDescent="0.3">
      <c r="A190" s="53"/>
      <c r="E190" s="64" t="s">
        <v>107</v>
      </c>
      <c r="F190" s="65">
        <f>6*H193/200</f>
        <v>6</v>
      </c>
      <c r="G190" s="66"/>
      <c r="H190" s="280">
        <f>F190</f>
        <v>6</v>
      </c>
      <c r="I190" s="281"/>
      <c r="J190" s="3">
        <v>72.27</v>
      </c>
      <c r="K190" s="3">
        <f>F190*J190/1000</f>
        <v>0.43362000000000001</v>
      </c>
    </row>
    <row r="191" spans="1:26" x14ac:dyDescent="0.3">
      <c r="A191" s="53"/>
      <c r="E191" s="64" t="s">
        <v>105</v>
      </c>
      <c r="F191" s="65">
        <f>5*H193/200</f>
        <v>5</v>
      </c>
      <c r="G191" s="66"/>
      <c r="H191" s="280">
        <f>F191</f>
        <v>5</v>
      </c>
      <c r="I191" s="281"/>
      <c r="J191" s="3">
        <v>497.15</v>
      </c>
      <c r="K191" s="3">
        <f>F191*J191/1000</f>
        <v>2.4857499999999999</v>
      </c>
    </row>
    <row r="192" spans="1:26" x14ac:dyDescent="0.3">
      <c r="A192" s="53"/>
      <c r="E192" s="61" t="s">
        <v>106</v>
      </c>
      <c r="F192" s="67">
        <f>0.5*H193/200</f>
        <v>0.5</v>
      </c>
      <c r="G192" s="68"/>
      <c r="H192" s="279">
        <f>F192</f>
        <v>0.5</v>
      </c>
      <c r="I192" s="279"/>
      <c r="J192" s="3">
        <v>17</v>
      </c>
      <c r="K192" s="3">
        <f>F192*J192/1000</f>
        <v>8.5000000000000006E-3</v>
      </c>
    </row>
    <row r="193" spans="1:26" x14ac:dyDescent="0.3">
      <c r="A193" s="53"/>
      <c r="E193" s="70" t="s">
        <v>108</v>
      </c>
      <c r="F193" s="117" t="s">
        <v>109</v>
      </c>
      <c r="G193" s="118"/>
      <c r="H193" s="282">
        <v>200</v>
      </c>
      <c r="I193" s="282"/>
      <c r="J193" s="3" t="s">
        <v>172</v>
      </c>
    </row>
    <row r="195" spans="1:26" x14ac:dyDescent="0.3">
      <c r="A195" s="53"/>
      <c r="C195" s="51" t="s">
        <v>130</v>
      </c>
      <c r="D195" s="53">
        <v>200</v>
      </c>
      <c r="F195" s="136" t="s">
        <v>100</v>
      </c>
      <c r="G195" s="137"/>
      <c r="H195" s="283" t="s">
        <v>101</v>
      </c>
      <c r="I195" s="283"/>
      <c r="K195" s="135">
        <f>SUM(K196:K199)</f>
        <v>7.5810500000000003</v>
      </c>
    </row>
    <row r="196" spans="1:26" x14ac:dyDescent="0.3">
      <c r="A196" s="53"/>
      <c r="E196" s="61" t="s">
        <v>131</v>
      </c>
      <c r="F196" s="62">
        <v>4</v>
      </c>
      <c r="G196" s="63"/>
      <c r="H196" s="279">
        <v>4</v>
      </c>
      <c r="I196" s="279"/>
      <c r="J196" s="3">
        <v>420</v>
      </c>
      <c r="K196" s="3">
        <f>J196*F196/1000</f>
        <v>1.68</v>
      </c>
    </row>
    <row r="197" spans="1:26" x14ac:dyDescent="0.3">
      <c r="A197" s="53"/>
      <c r="E197" s="64" t="s">
        <v>107</v>
      </c>
      <c r="F197" s="65">
        <v>15</v>
      </c>
      <c r="G197" s="66"/>
      <c r="H197" s="280">
        <v>15</v>
      </c>
      <c r="I197" s="281"/>
      <c r="J197" s="3">
        <v>72.27</v>
      </c>
      <c r="K197" s="3">
        <f>J197*F197/1000</f>
        <v>1.08405</v>
      </c>
    </row>
    <row r="198" spans="1:26" x14ac:dyDescent="0.3">
      <c r="A198" s="53"/>
      <c r="E198" s="64" t="s">
        <v>65</v>
      </c>
      <c r="F198" s="65">
        <v>100</v>
      </c>
      <c r="G198" s="66"/>
      <c r="H198" s="280">
        <v>100</v>
      </c>
      <c r="I198" s="281"/>
      <c r="J198" s="3">
        <v>48.17</v>
      </c>
      <c r="K198" s="3">
        <f>J198*F198/1000</f>
        <v>4.8170000000000002</v>
      </c>
    </row>
    <row r="199" spans="1:26" x14ac:dyDescent="0.3">
      <c r="E199" s="64" t="s">
        <v>104</v>
      </c>
      <c r="F199" s="67">
        <v>81</v>
      </c>
      <c r="G199" s="68"/>
      <c r="H199" s="280">
        <v>81</v>
      </c>
      <c r="I199" s="281"/>
      <c r="J199" s="3">
        <v>0</v>
      </c>
      <c r="K199" s="3">
        <f>J199*F199/1000</f>
        <v>0</v>
      </c>
    </row>
    <row r="200" spans="1:26" x14ac:dyDescent="0.3">
      <c r="E200" s="70" t="s">
        <v>108</v>
      </c>
      <c r="F200" s="117" t="s">
        <v>109</v>
      </c>
      <c r="G200" s="118"/>
      <c r="H200" s="282">
        <v>200</v>
      </c>
      <c r="I200" s="282"/>
    </row>
    <row r="202" spans="1:26" x14ac:dyDescent="0.3">
      <c r="C202" s="51" t="s">
        <v>142</v>
      </c>
      <c r="D202" s="53">
        <v>40</v>
      </c>
      <c r="J202" s="3">
        <v>59.55</v>
      </c>
      <c r="K202" s="135">
        <f>D202*J202/1000</f>
        <v>2.3820000000000001</v>
      </c>
    </row>
    <row r="203" spans="1:26" ht="16.2" thickBot="1" x14ac:dyDescent="0.35">
      <c r="A203" s="81"/>
      <c r="B203" s="81"/>
      <c r="C203" s="81"/>
      <c r="D203" s="82"/>
      <c r="E203" s="82"/>
      <c r="F203" s="82"/>
      <c r="G203" s="82"/>
      <c r="H203" s="82"/>
      <c r="I203" s="82"/>
      <c r="J203" s="83"/>
      <c r="K203" s="83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 x14ac:dyDescent="0.3">
      <c r="A204" s="51">
        <v>7</v>
      </c>
      <c r="B204" s="51" t="s">
        <v>71</v>
      </c>
      <c r="C204" s="86"/>
      <c r="D204" s="87">
        <v>100</v>
      </c>
      <c r="E204" s="245" t="s">
        <v>342</v>
      </c>
      <c r="F204" s="345">
        <v>100</v>
      </c>
      <c r="G204" s="345"/>
      <c r="H204" s="87"/>
      <c r="I204" s="87"/>
      <c r="J204" s="31">
        <v>65</v>
      </c>
      <c r="K204" s="114">
        <f>F204*J204/1000</f>
        <v>6.5</v>
      </c>
    </row>
    <row r="205" spans="1:26" x14ac:dyDescent="0.3">
      <c r="A205" s="51" t="s">
        <v>113</v>
      </c>
      <c r="B205" s="138">
        <f>K204+K206+K220+K228+K233</f>
        <v>54.430584500000002</v>
      </c>
    </row>
    <row r="206" spans="1:26" x14ac:dyDescent="0.3">
      <c r="B206" s="51">
        <f>D204+D206+D220+D228+D233</f>
        <v>580</v>
      </c>
      <c r="C206" s="90" t="s">
        <v>177</v>
      </c>
      <c r="D206" s="53">
        <v>90</v>
      </c>
      <c r="F206" s="294" t="s">
        <v>100</v>
      </c>
      <c r="G206" s="283"/>
      <c r="H206" s="294" t="s">
        <v>101</v>
      </c>
      <c r="I206" s="283"/>
      <c r="K206" s="139">
        <f>SUM(K207:K217)</f>
        <v>40.078084500000003</v>
      </c>
    </row>
    <row r="207" spans="1:26" x14ac:dyDescent="0.3">
      <c r="A207" s="51">
        <f>D204+D206+D220+D228+D233</f>
        <v>580</v>
      </c>
      <c r="B207" s="52"/>
      <c r="E207" s="91" t="s">
        <v>115</v>
      </c>
      <c r="F207" s="140">
        <v>65.7</v>
      </c>
      <c r="G207" s="141"/>
      <c r="H207" s="304">
        <v>46.8</v>
      </c>
      <c r="I207" s="305"/>
      <c r="J207" s="3">
        <v>548</v>
      </c>
      <c r="K207" s="3">
        <f>F207*J207/1000</f>
        <v>36.003599999999999</v>
      </c>
    </row>
    <row r="208" spans="1:26" x14ac:dyDescent="0.3">
      <c r="A208" s="53"/>
      <c r="B208" s="53"/>
      <c r="E208" s="91" t="s">
        <v>117</v>
      </c>
      <c r="F208" s="142">
        <v>9.4499999999999993</v>
      </c>
      <c r="G208" s="143"/>
      <c r="H208" s="299">
        <v>9.4499999999999993</v>
      </c>
      <c r="I208" s="300"/>
      <c r="J208" s="3">
        <v>50.09</v>
      </c>
      <c r="K208" s="3">
        <f>F208*J208/1000</f>
        <v>0.47335050000000001</v>
      </c>
    </row>
    <row r="209" spans="1:11" x14ac:dyDescent="0.3">
      <c r="A209" s="53"/>
      <c r="B209" s="53"/>
      <c r="E209" s="91" t="s">
        <v>104</v>
      </c>
      <c r="F209" s="142">
        <v>16.38</v>
      </c>
      <c r="G209" s="143"/>
      <c r="H209" s="299">
        <v>16.38</v>
      </c>
      <c r="I209" s="300"/>
      <c r="J209" s="3">
        <v>0</v>
      </c>
      <c r="K209" s="3">
        <f>F209*J209/1000</f>
        <v>0</v>
      </c>
    </row>
    <row r="210" spans="1:11" x14ac:dyDescent="0.3">
      <c r="A210" s="53"/>
      <c r="B210" s="53"/>
      <c r="E210" s="91" t="s">
        <v>105</v>
      </c>
      <c r="F210" s="142">
        <v>1.8</v>
      </c>
      <c r="G210" s="143"/>
      <c r="H210" s="299">
        <v>1.8</v>
      </c>
      <c r="I210" s="300"/>
      <c r="J210" s="3">
        <v>497.15</v>
      </c>
      <c r="K210" s="3">
        <f>F210*J210/1000</f>
        <v>0.89487000000000005</v>
      </c>
    </row>
    <row r="211" spans="1:11" x14ac:dyDescent="0.3">
      <c r="A211" s="53"/>
      <c r="B211" s="53"/>
      <c r="E211" s="91" t="s">
        <v>119</v>
      </c>
      <c r="F211" s="144" t="s">
        <v>109</v>
      </c>
      <c r="G211" s="145"/>
      <c r="H211" s="301">
        <v>73.8</v>
      </c>
      <c r="I211" s="302"/>
    </row>
    <row r="212" spans="1:11" ht="26.4" x14ac:dyDescent="0.3">
      <c r="A212" s="53"/>
      <c r="B212" s="53"/>
      <c r="E212" s="140" t="s">
        <v>178</v>
      </c>
      <c r="F212" s="91" t="s">
        <v>109</v>
      </c>
      <c r="G212" s="92"/>
      <c r="H212" s="296">
        <v>27</v>
      </c>
      <c r="I212" s="297"/>
    </row>
    <row r="213" spans="1:11" x14ac:dyDescent="0.3">
      <c r="A213" s="53"/>
      <c r="B213" s="53"/>
      <c r="E213" s="91" t="s">
        <v>103</v>
      </c>
      <c r="F213" s="91">
        <v>27</v>
      </c>
      <c r="G213" s="92"/>
      <c r="H213" s="296">
        <v>27</v>
      </c>
      <c r="I213" s="297"/>
      <c r="J213" s="3">
        <v>57.5</v>
      </c>
      <c r="K213" s="3">
        <f>F213*J213/1000</f>
        <v>1.5525</v>
      </c>
    </row>
    <row r="214" spans="1:11" x14ac:dyDescent="0.3">
      <c r="A214" s="53"/>
      <c r="B214" s="53"/>
      <c r="E214" s="91" t="s">
        <v>34</v>
      </c>
      <c r="F214" s="91">
        <v>2.16</v>
      </c>
      <c r="G214" s="92"/>
      <c r="H214" s="296">
        <v>2.16</v>
      </c>
      <c r="I214" s="297"/>
      <c r="J214" s="3">
        <v>37</v>
      </c>
      <c r="K214" s="3">
        <f>F214*J214/1000</f>
        <v>7.9920000000000005E-2</v>
      </c>
    </row>
    <row r="215" spans="1:11" x14ac:dyDescent="0.3">
      <c r="A215" s="53"/>
      <c r="B215" s="53"/>
      <c r="E215" s="91" t="s">
        <v>105</v>
      </c>
      <c r="F215" s="91">
        <v>2.16</v>
      </c>
      <c r="G215" s="92"/>
      <c r="H215" s="296">
        <v>2.16</v>
      </c>
      <c r="I215" s="297"/>
      <c r="J215" s="3">
        <v>497.15</v>
      </c>
      <c r="K215" s="3">
        <f>F215*J215/1000</f>
        <v>1.073844</v>
      </c>
    </row>
    <row r="216" spans="1:11" x14ac:dyDescent="0.3">
      <c r="A216" s="53"/>
      <c r="B216" s="53"/>
      <c r="E216" s="97" t="s">
        <v>127</v>
      </c>
      <c r="F216" s="298">
        <v>90</v>
      </c>
      <c r="G216" s="298"/>
      <c r="H216" s="298"/>
      <c r="I216" s="298"/>
      <c r="K216" s="3">
        <f>F216*J216/1000</f>
        <v>0</v>
      </c>
    </row>
    <row r="217" spans="1:11" x14ac:dyDescent="0.3">
      <c r="A217" s="53"/>
      <c r="B217" s="53"/>
      <c r="E217" s="61"/>
      <c r="F217" s="146"/>
      <c r="G217" s="146"/>
      <c r="H217" s="147"/>
      <c r="I217" s="148"/>
      <c r="K217" s="3">
        <f>F217*J217/1000</f>
        <v>0</v>
      </c>
    </row>
    <row r="218" spans="1:11" x14ac:dyDescent="0.3">
      <c r="A218" s="53"/>
      <c r="B218" s="53"/>
      <c r="E218" s="70"/>
      <c r="F218" s="146"/>
      <c r="G218" s="146"/>
      <c r="H218" s="117"/>
      <c r="I218" s="118"/>
    </row>
    <row r="220" spans="1:11" x14ac:dyDescent="0.3">
      <c r="A220" s="53"/>
      <c r="B220" s="53"/>
      <c r="C220" s="51" t="s">
        <v>179</v>
      </c>
      <c r="D220" s="53">
        <v>150</v>
      </c>
      <c r="F220" s="283" t="s">
        <v>100</v>
      </c>
      <c r="G220" s="283"/>
      <c r="H220" s="283" t="s">
        <v>101</v>
      </c>
      <c r="I220" s="283"/>
      <c r="K220" s="139">
        <f>SUM(K221:K225)</f>
        <v>4.4648500000000002</v>
      </c>
    </row>
    <row r="221" spans="1:11" x14ac:dyDescent="0.3">
      <c r="A221" s="53"/>
      <c r="B221" s="53"/>
      <c r="E221" s="61" t="s">
        <v>129</v>
      </c>
      <c r="F221" s="62">
        <v>16</v>
      </c>
      <c r="G221" s="63"/>
      <c r="H221" s="279">
        <v>16</v>
      </c>
      <c r="I221" s="279"/>
      <c r="J221" s="3">
        <v>84</v>
      </c>
      <c r="K221" s="3">
        <f>F221*J221/1000</f>
        <v>1.3440000000000001</v>
      </c>
    </row>
    <row r="222" spans="1:11" x14ac:dyDescent="0.3">
      <c r="E222" s="64" t="s">
        <v>104</v>
      </c>
      <c r="F222" s="65">
        <v>120</v>
      </c>
      <c r="G222" s="66"/>
      <c r="H222" s="280">
        <v>120</v>
      </c>
      <c r="I222" s="281"/>
      <c r="J222" s="3">
        <v>0</v>
      </c>
      <c r="K222" s="3">
        <f>F222*J222/1000</f>
        <v>0</v>
      </c>
    </row>
    <row r="223" spans="1:11" x14ac:dyDescent="0.3">
      <c r="E223" s="61" t="s">
        <v>180</v>
      </c>
      <c r="F223" s="65">
        <v>18</v>
      </c>
      <c r="G223" s="66"/>
      <c r="H223" s="279">
        <v>18</v>
      </c>
      <c r="I223" s="279"/>
      <c r="J223" s="3">
        <v>35</v>
      </c>
      <c r="K223" s="3">
        <f>F223*J223/1000</f>
        <v>0.63</v>
      </c>
    </row>
    <row r="224" spans="1:11" x14ac:dyDescent="0.3">
      <c r="E224" s="61" t="s">
        <v>106</v>
      </c>
      <c r="F224" s="65">
        <v>0.3</v>
      </c>
      <c r="G224" s="66"/>
      <c r="H224" s="279">
        <v>0.3</v>
      </c>
      <c r="I224" s="279"/>
      <c r="J224" s="3">
        <v>17</v>
      </c>
      <c r="K224" s="3">
        <f>F224*J224/1000</f>
        <v>5.0999999999999995E-3</v>
      </c>
    </row>
    <row r="225" spans="1:26" x14ac:dyDescent="0.3">
      <c r="E225" s="61" t="s">
        <v>105</v>
      </c>
      <c r="F225" s="67">
        <v>5</v>
      </c>
      <c r="G225" s="68"/>
      <c r="H225" s="279">
        <v>5</v>
      </c>
      <c r="I225" s="279"/>
      <c r="J225" s="3">
        <v>497.15</v>
      </c>
      <c r="K225" s="3">
        <f>F225*J225/1000</f>
        <v>2.4857499999999999</v>
      </c>
    </row>
    <row r="226" spans="1:26" x14ac:dyDescent="0.3">
      <c r="E226" s="70" t="s">
        <v>108</v>
      </c>
      <c r="F226" s="117" t="s">
        <v>109</v>
      </c>
      <c r="G226" s="118"/>
      <c r="H226" s="282">
        <v>150</v>
      </c>
      <c r="I226" s="282"/>
    </row>
    <row r="228" spans="1:26" x14ac:dyDescent="0.3">
      <c r="C228" s="51" t="s">
        <v>141</v>
      </c>
      <c r="D228" s="53">
        <v>200</v>
      </c>
      <c r="F228" s="136" t="s">
        <v>100</v>
      </c>
      <c r="G228" s="137"/>
      <c r="H228" s="283" t="s">
        <v>101</v>
      </c>
      <c r="I228" s="283"/>
      <c r="K228" s="139">
        <f>K229+K230</f>
        <v>1.38405</v>
      </c>
    </row>
    <row r="229" spans="1:26" x14ac:dyDescent="0.3">
      <c r="E229" s="61" t="s">
        <v>8</v>
      </c>
      <c r="F229" s="62">
        <v>0.6</v>
      </c>
      <c r="G229" s="63"/>
      <c r="H229" s="279">
        <v>0.6</v>
      </c>
      <c r="I229" s="279"/>
      <c r="J229" s="3">
        <v>500</v>
      </c>
      <c r="K229" s="3">
        <f>J229*F229/1000</f>
        <v>0.3</v>
      </c>
    </row>
    <row r="230" spans="1:26" x14ac:dyDescent="0.3">
      <c r="E230" s="64" t="s">
        <v>107</v>
      </c>
      <c r="F230" s="67">
        <v>15</v>
      </c>
      <c r="G230" s="68"/>
      <c r="H230" s="280">
        <v>15</v>
      </c>
      <c r="I230" s="281"/>
      <c r="J230" s="3">
        <v>72.27</v>
      </c>
      <c r="K230" s="3">
        <f>J230*F230/1000</f>
        <v>1.08405</v>
      </c>
    </row>
    <row r="231" spans="1:26" x14ac:dyDescent="0.3">
      <c r="E231" s="70" t="s">
        <v>108</v>
      </c>
      <c r="F231" s="117" t="s">
        <v>109</v>
      </c>
      <c r="G231" s="118"/>
      <c r="H231" s="282">
        <v>200</v>
      </c>
      <c r="I231" s="282"/>
    </row>
    <row r="233" spans="1:26" x14ac:dyDescent="0.3">
      <c r="C233" s="51" t="s">
        <v>112</v>
      </c>
      <c r="D233" s="53">
        <v>40</v>
      </c>
      <c r="J233" s="3">
        <v>50.09</v>
      </c>
      <c r="K233" s="139">
        <f>D233*J233/1000</f>
        <v>2.0036</v>
      </c>
    </row>
    <row r="234" spans="1:26" ht="16.2" thickBot="1" x14ac:dyDescent="0.35">
      <c r="A234" s="81"/>
      <c r="B234" s="81"/>
      <c r="C234" s="81"/>
      <c r="D234" s="82"/>
      <c r="E234" s="82"/>
      <c r="F234" s="82"/>
      <c r="G234" s="82"/>
      <c r="H234" s="82"/>
      <c r="I234" s="82"/>
      <c r="J234" s="83"/>
      <c r="K234" s="83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 x14ac:dyDescent="0.3">
      <c r="A235" s="51">
        <v>8</v>
      </c>
      <c r="B235" s="51" t="s">
        <v>71</v>
      </c>
    </row>
    <row r="236" spans="1:26" x14ac:dyDescent="0.3">
      <c r="A236" s="51" t="s">
        <v>132</v>
      </c>
      <c r="B236" s="149">
        <f>K236+K238+K242+K254+K260</f>
        <v>53.416423157894734</v>
      </c>
      <c r="J236" s="114"/>
      <c r="K236" s="115"/>
    </row>
    <row r="237" spans="1:26" x14ac:dyDescent="0.3">
      <c r="B237" s="51">
        <f>D236+D238+D242+D254+D260</f>
        <v>440</v>
      </c>
    </row>
    <row r="238" spans="1:26" x14ac:dyDescent="0.3">
      <c r="A238" s="53"/>
      <c r="B238" s="53"/>
      <c r="C238" s="51" t="s">
        <v>136</v>
      </c>
      <c r="D238" s="53">
        <v>30</v>
      </c>
      <c r="F238" s="150" t="s">
        <v>100</v>
      </c>
      <c r="G238" s="150" t="s">
        <v>101</v>
      </c>
      <c r="K238" s="115">
        <f>K239</f>
        <v>7.7652631578947364</v>
      </c>
    </row>
    <row r="239" spans="1:26" x14ac:dyDescent="0.3">
      <c r="A239" s="53"/>
      <c r="B239" s="53"/>
      <c r="E239" s="151" t="s">
        <v>136</v>
      </c>
      <c r="F239" s="152">
        <v>30</v>
      </c>
      <c r="G239" s="152">
        <f t="shared" ref="G239" si="9">F239</f>
        <v>30</v>
      </c>
      <c r="J239" s="31">
        <v>98.36</v>
      </c>
      <c r="K239" s="3">
        <f>J239/380*F239</f>
        <v>7.7652631578947364</v>
      </c>
    </row>
    <row r="240" spans="1:26" x14ac:dyDescent="0.3">
      <c r="A240" s="53"/>
      <c r="B240" s="53"/>
      <c r="E240" s="153" t="s">
        <v>108</v>
      </c>
      <c r="F240" s="154" t="s">
        <v>109</v>
      </c>
      <c r="G240" s="155">
        <v>30</v>
      </c>
    </row>
    <row r="242" spans="1:11" x14ac:dyDescent="0.3">
      <c r="A242" s="53"/>
      <c r="B242" s="53"/>
      <c r="C242" s="51" t="s">
        <v>181</v>
      </c>
      <c r="D242" s="53">
        <v>170</v>
      </c>
      <c r="F242" s="283" t="s">
        <v>100</v>
      </c>
      <c r="G242" s="283"/>
      <c r="H242" s="283" t="s">
        <v>101</v>
      </c>
      <c r="I242" s="283"/>
      <c r="K242" s="115">
        <f>SUM(K243:K251)</f>
        <v>41.795110000000001</v>
      </c>
    </row>
    <row r="243" spans="1:11" x14ac:dyDescent="0.3">
      <c r="A243" s="53"/>
      <c r="B243" s="53"/>
      <c r="E243" s="61" t="s">
        <v>182</v>
      </c>
      <c r="F243" s="156">
        <f>134*H252/170</f>
        <v>134</v>
      </c>
      <c r="G243" s="157"/>
      <c r="H243" s="295">
        <f>F243</f>
        <v>134</v>
      </c>
      <c r="I243" s="295"/>
      <c r="J243" s="3">
        <v>260</v>
      </c>
      <c r="K243" s="3">
        <f t="shared" ref="K243:K251" si="10">J243*F243/1000</f>
        <v>34.840000000000003</v>
      </c>
    </row>
    <row r="244" spans="1:11" x14ac:dyDescent="0.3">
      <c r="A244" s="53"/>
      <c r="B244" s="53"/>
      <c r="E244" s="64" t="s">
        <v>129</v>
      </c>
      <c r="F244" s="158">
        <f>18*H252/170</f>
        <v>18</v>
      </c>
      <c r="G244" s="159"/>
      <c r="H244" s="295">
        <f t="shared" ref="H244:H251" si="11">F244</f>
        <v>18</v>
      </c>
      <c r="I244" s="295"/>
      <c r="J244" s="3">
        <v>84</v>
      </c>
      <c r="K244" s="3">
        <f t="shared" si="10"/>
        <v>1.512</v>
      </c>
    </row>
    <row r="245" spans="1:11" x14ac:dyDescent="0.3">
      <c r="A245" s="53"/>
      <c r="B245" s="53"/>
      <c r="E245" s="64" t="s">
        <v>103</v>
      </c>
      <c r="F245" s="158">
        <f>40*H252/170</f>
        <v>40</v>
      </c>
      <c r="G245" s="159"/>
      <c r="H245" s="295">
        <f t="shared" si="11"/>
        <v>40</v>
      </c>
      <c r="I245" s="295"/>
      <c r="J245" s="3">
        <v>57.5</v>
      </c>
      <c r="K245" s="3">
        <f t="shared" si="10"/>
        <v>2.2999999999999998</v>
      </c>
    </row>
    <row r="246" spans="1:11" x14ac:dyDescent="0.3">
      <c r="A246" s="53"/>
      <c r="B246" s="53"/>
      <c r="E246" s="64" t="s">
        <v>140</v>
      </c>
      <c r="F246" s="158">
        <f>0.02*H252/170</f>
        <v>0.02</v>
      </c>
      <c r="G246" s="159"/>
      <c r="H246" s="295">
        <f t="shared" si="11"/>
        <v>0.02</v>
      </c>
      <c r="I246" s="295"/>
      <c r="J246" s="3">
        <v>1200</v>
      </c>
      <c r="K246" s="3">
        <f t="shared" si="10"/>
        <v>2.4E-2</v>
      </c>
    </row>
    <row r="247" spans="1:11" x14ac:dyDescent="0.3">
      <c r="A247" s="53"/>
      <c r="B247" s="53"/>
      <c r="E247" s="64" t="s">
        <v>154</v>
      </c>
      <c r="F247" s="158">
        <f>9*H252/170</f>
        <v>9</v>
      </c>
      <c r="G247" s="159"/>
      <c r="H247" s="295">
        <f t="shared" si="11"/>
        <v>9</v>
      </c>
      <c r="I247" s="295"/>
      <c r="J247" s="3">
        <v>140</v>
      </c>
      <c r="K247" s="3">
        <f t="shared" si="10"/>
        <v>1.26</v>
      </c>
    </row>
    <row r="248" spans="1:11" x14ac:dyDescent="0.3">
      <c r="A248" s="53"/>
      <c r="B248" s="53"/>
      <c r="E248" s="64" t="s">
        <v>107</v>
      </c>
      <c r="F248" s="158">
        <f>3*H252/170</f>
        <v>3</v>
      </c>
      <c r="G248" s="159"/>
      <c r="H248" s="295">
        <f t="shared" si="11"/>
        <v>3</v>
      </c>
      <c r="I248" s="295"/>
      <c r="J248" s="3">
        <v>72.27</v>
      </c>
      <c r="K248" s="3">
        <f t="shared" si="10"/>
        <v>0.21681</v>
      </c>
    </row>
    <row r="249" spans="1:11" x14ac:dyDescent="0.3">
      <c r="A249" s="53"/>
      <c r="B249" s="53"/>
      <c r="E249" s="64" t="s">
        <v>118</v>
      </c>
      <c r="F249" s="158">
        <f>1.5*H252/170</f>
        <v>1.5</v>
      </c>
      <c r="G249" s="159"/>
      <c r="H249" s="295">
        <f t="shared" si="11"/>
        <v>1.5</v>
      </c>
      <c r="I249" s="295"/>
      <c r="J249" s="3">
        <v>200</v>
      </c>
      <c r="K249" s="3">
        <f t="shared" si="10"/>
        <v>0.3</v>
      </c>
    </row>
    <row r="250" spans="1:11" x14ac:dyDescent="0.3">
      <c r="A250" s="53"/>
      <c r="B250" s="53"/>
      <c r="E250" s="64" t="s">
        <v>4</v>
      </c>
      <c r="F250" s="158">
        <f>2*H252/170</f>
        <v>2</v>
      </c>
      <c r="G250" s="159"/>
      <c r="H250" s="295">
        <f t="shared" si="11"/>
        <v>2</v>
      </c>
      <c r="I250" s="295"/>
      <c r="J250" s="3">
        <v>174</v>
      </c>
      <c r="K250" s="3">
        <f t="shared" si="10"/>
        <v>0.34799999999999998</v>
      </c>
    </row>
    <row r="251" spans="1:11" x14ac:dyDescent="0.3">
      <c r="A251" s="53"/>
      <c r="B251" s="53"/>
      <c r="E251" s="64" t="s">
        <v>105</v>
      </c>
      <c r="F251" s="160">
        <f>2*H252/170</f>
        <v>2</v>
      </c>
      <c r="G251" s="161"/>
      <c r="H251" s="295">
        <f t="shared" si="11"/>
        <v>2</v>
      </c>
      <c r="I251" s="295"/>
      <c r="J251" s="3">
        <v>497.15</v>
      </c>
      <c r="K251" s="3">
        <f t="shared" si="10"/>
        <v>0.99429999999999996</v>
      </c>
    </row>
    <row r="252" spans="1:11" x14ac:dyDescent="0.3">
      <c r="A252" s="53"/>
      <c r="B252" s="53"/>
      <c r="E252" s="70" t="s">
        <v>108</v>
      </c>
      <c r="F252" s="117" t="s">
        <v>109</v>
      </c>
      <c r="G252" s="118"/>
      <c r="H252" s="282">
        <v>170</v>
      </c>
      <c r="I252" s="282"/>
    </row>
    <row r="254" spans="1:11" x14ac:dyDescent="0.3">
      <c r="C254" s="51" t="s">
        <v>141</v>
      </c>
      <c r="D254" s="53">
        <v>200</v>
      </c>
      <c r="F254" s="136" t="s">
        <v>100</v>
      </c>
      <c r="G254" s="137"/>
      <c r="H254" s="283" t="s">
        <v>101</v>
      </c>
      <c r="I254" s="283"/>
      <c r="K254" s="139">
        <f>K255+K256</f>
        <v>1.4740500000000001</v>
      </c>
    </row>
    <row r="255" spans="1:11" x14ac:dyDescent="0.3">
      <c r="E255" s="61" t="s">
        <v>8</v>
      </c>
      <c r="F255" s="62">
        <v>0.6</v>
      </c>
      <c r="G255" s="63"/>
      <c r="H255" s="279">
        <v>0.6</v>
      </c>
      <c r="I255" s="279"/>
      <c r="J255" s="3">
        <v>650</v>
      </c>
      <c r="K255" s="3">
        <f>J255*F255/1000</f>
        <v>0.39</v>
      </c>
    </row>
    <row r="256" spans="1:11" x14ac:dyDescent="0.3">
      <c r="E256" s="64" t="s">
        <v>107</v>
      </c>
      <c r="F256" s="67">
        <v>15</v>
      </c>
      <c r="G256" s="68"/>
      <c r="H256" s="280">
        <v>15</v>
      </c>
      <c r="I256" s="281"/>
      <c r="J256" s="3">
        <v>72.27</v>
      </c>
      <c r="K256" s="3">
        <f>J256*F256/1000</f>
        <v>1.08405</v>
      </c>
    </row>
    <row r="257" spans="1:26" x14ac:dyDescent="0.3">
      <c r="E257" s="70" t="s">
        <v>108</v>
      </c>
      <c r="F257" s="117" t="s">
        <v>109</v>
      </c>
      <c r="G257" s="118"/>
      <c r="H257" s="282">
        <v>200</v>
      </c>
      <c r="I257" s="282"/>
    </row>
    <row r="258" spans="1:26" x14ac:dyDescent="0.3">
      <c r="E258" s="70"/>
      <c r="F258" s="286"/>
      <c r="G258" s="286"/>
      <c r="H258" s="286"/>
      <c r="I258" s="286"/>
    </row>
    <row r="260" spans="1:26" x14ac:dyDescent="0.3">
      <c r="C260" s="51" t="s">
        <v>142</v>
      </c>
      <c r="D260" s="53">
        <v>40</v>
      </c>
      <c r="J260" s="3">
        <v>59.55</v>
      </c>
      <c r="K260" s="115">
        <f>D260*J260/1000</f>
        <v>2.3820000000000001</v>
      </c>
    </row>
    <row r="261" spans="1:26" ht="16.2" thickBot="1" x14ac:dyDescent="0.35">
      <c r="A261" s="81"/>
      <c r="B261" s="81"/>
      <c r="C261" s="81"/>
      <c r="D261" s="82"/>
      <c r="E261" s="82"/>
      <c r="F261" s="82"/>
      <c r="G261" s="82"/>
      <c r="H261" s="82"/>
      <c r="I261" s="82"/>
      <c r="J261" s="83"/>
      <c r="K261" s="83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 x14ac:dyDescent="0.3">
      <c r="A262" s="51">
        <v>9</v>
      </c>
      <c r="B262" s="51" t="s">
        <v>71</v>
      </c>
      <c r="C262" s="86"/>
      <c r="D262" s="87"/>
      <c r="E262" s="87"/>
      <c r="F262" s="343"/>
      <c r="G262" s="344"/>
      <c r="H262" s="343"/>
      <c r="I262" s="344"/>
      <c r="J262" s="31"/>
      <c r="K262" s="114"/>
    </row>
    <row r="263" spans="1:26" x14ac:dyDescent="0.3">
      <c r="B263" s="162">
        <f>K263+K267+K292+K298+K300+K307</f>
        <v>69.731814</v>
      </c>
      <c r="C263" s="86" t="s">
        <v>345</v>
      </c>
      <c r="D263" s="87">
        <v>40</v>
      </c>
      <c r="E263" s="87"/>
      <c r="F263" s="87">
        <v>40</v>
      </c>
      <c r="G263" s="87"/>
      <c r="H263" s="87"/>
      <c r="I263" s="87"/>
      <c r="J263" s="31">
        <v>133</v>
      </c>
      <c r="K263" s="88">
        <f>J263*F263/1000</f>
        <v>5.32</v>
      </c>
      <c r="L263" s="231"/>
    </row>
    <row r="264" spans="1:26" x14ac:dyDescent="0.3">
      <c r="B264" s="51">
        <f>D263+D267+D292+D298+D300+D307</f>
        <v>630</v>
      </c>
      <c r="C264" s="86"/>
      <c r="D264" s="87"/>
      <c r="E264" s="248"/>
      <c r="F264" s="249"/>
      <c r="G264" s="249"/>
      <c r="H264" s="249"/>
      <c r="I264" s="249"/>
      <c r="J264" s="247"/>
      <c r="K264" s="247"/>
      <c r="L264" s="231"/>
    </row>
    <row r="265" spans="1:26" x14ac:dyDescent="0.3">
      <c r="B265" s="163"/>
      <c r="E265" s="231"/>
      <c r="F265" s="231"/>
      <c r="G265" s="231"/>
      <c r="H265" s="231"/>
      <c r="I265" s="231"/>
      <c r="J265" s="232"/>
      <c r="K265" s="230"/>
      <c r="L265" s="231"/>
    </row>
    <row r="267" spans="1:26" x14ac:dyDescent="0.3">
      <c r="C267" s="53" t="s">
        <v>183</v>
      </c>
      <c r="D267" s="53">
        <v>100</v>
      </c>
      <c r="F267" s="335" t="s">
        <v>100</v>
      </c>
      <c r="G267" s="336"/>
      <c r="H267" s="335" t="s">
        <v>101</v>
      </c>
      <c r="I267" s="336"/>
      <c r="K267" s="164">
        <f>SUM(K268:K287)</f>
        <v>42.517613999999995</v>
      </c>
    </row>
    <row r="268" spans="1:26" x14ac:dyDescent="0.3">
      <c r="E268" s="91" t="s">
        <v>115</v>
      </c>
      <c r="F268" s="91">
        <v>69.400000000000006</v>
      </c>
      <c r="G268" s="92"/>
      <c r="H268" s="296">
        <v>50.7</v>
      </c>
      <c r="I268" s="297"/>
      <c r="J268" s="3">
        <v>548</v>
      </c>
      <c r="K268" s="3">
        <f>F268*J268/1000</f>
        <v>38.031200000000005</v>
      </c>
    </row>
    <row r="269" spans="1:26" x14ac:dyDescent="0.3">
      <c r="A269" s="53"/>
      <c r="B269" s="53"/>
      <c r="E269" s="91" t="s">
        <v>103</v>
      </c>
      <c r="F269" s="91">
        <v>16</v>
      </c>
      <c r="G269" s="92"/>
      <c r="H269" s="296">
        <v>16</v>
      </c>
      <c r="I269" s="297"/>
      <c r="J269" s="3">
        <v>57.5</v>
      </c>
      <c r="K269" s="3">
        <f>F269*J269/1000</f>
        <v>0.92</v>
      </c>
    </row>
    <row r="270" spans="1:26" x14ac:dyDescent="0.3">
      <c r="A270" s="53"/>
      <c r="B270" s="53"/>
      <c r="E270" s="91" t="s">
        <v>117</v>
      </c>
      <c r="F270" s="91">
        <v>11</v>
      </c>
      <c r="G270" s="92"/>
      <c r="H270" s="296">
        <v>11</v>
      </c>
      <c r="I270" s="297"/>
      <c r="J270" s="3">
        <v>50.09</v>
      </c>
      <c r="K270" s="3">
        <f>F270*J270/1000</f>
        <v>0.55098999999999998</v>
      </c>
    </row>
    <row r="271" spans="1:26" x14ac:dyDescent="0.3">
      <c r="A271" s="53"/>
      <c r="B271" s="53"/>
      <c r="E271" s="91" t="s">
        <v>44</v>
      </c>
      <c r="F271" s="91">
        <v>31</v>
      </c>
      <c r="G271" s="92"/>
      <c r="H271" s="296">
        <v>26</v>
      </c>
      <c r="I271" s="297"/>
      <c r="J271" s="3">
        <v>20</v>
      </c>
      <c r="K271" s="3">
        <f>F271*J271/1000</f>
        <v>0.62</v>
      </c>
    </row>
    <row r="272" spans="1:26" x14ac:dyDescent="0.3">
      <c r="A272" s="53"/>
      <c r="B272" s="53"/>
      <c r="E272" s="91" t="s">
        <v>5</v>
      </c>
      <c r="F272" s="91">
        <v>4</v>
      </c>
      <c r="G272" s="92"/>
      <c r="H272" s="296">
        <v>4</v>
      </c>
      <c r="I272" s="297"/>
      <c r="J272" s="3">
        <v>152</v>
      </c>
      <c r="K272" s="3">
        <f>F272*J272/1000</f>
        <v>0.60799999999999998</v>
      </c>
    </row>
    <row r="273" spans="1:11" x14ac:dyDescent="0.3">
      <c r="A273" s="53"/>
      <c r="B273" s="53"/>
      <c r="E273" s="91" t="s">
        <v>184</v>
      </c>
      <c r="F273" s="91" t="s">
        <v>109</v>
      </c>
      <c r="G273" s="92"/>
      <c r="H273" s="296">
        <v>13</v>
      </c>
      <c r="I273" s="297"/>
    </row>
    <row r="274" spans="1:11" x14ac:dyDescent="0.3">
      <c r="A274" s="53"/>
      <c r="B274" s="53"/>
      <c r="E274" s="91" t="s">
        <v>185</v>
      </c>
      <c r="F274" s="91" t="s">
        <v>109</v>
      </c>
      <c r="G274" s="92"/>
      <c r="H274" s="296">
        <v>80</v>
      </c>
      <c r="I274" s="297"/>
    </row>
    <row r="275" spans="1:11" x14ac:dyDescent="0.3">
      <c r="A275" s="53"/>
      <c r="B275" s="53"/>
      <c r="E275" s="91" t="s">
        <v>34</v>
      </c>
      <c r="F275" s="91">
        <v>5.3</v>
      </c>
      <c r="G275" s="92"/>
      <c r="H275" s="296">
        <v>5.3</v>
      </c>
      <c r="I275" s="297"/>
      <c r="J275" s="3">
        <v>37</v>
      </c>
      <c r="K275" s="3">
        <f>F275*J275/1000</f>
        <v>0.1961</v>
      </c>
    </row>
    <row r="276" spans="1:11" x14ac:dyDescent="0.3">
      <c r="A276" s="53"/>
      <c r="B276" s="53"/>
      <c r="E276" s="91" t="s">
        <v>124</v>
      </c>
      <c r="F276" s="91">
        <v>0.35</v>
      </c>
      <c r="G276" s="92"/>
      <c r="H276" s="296">
        <v>0.35</v>
      </c>
      <c r="I276" s="297"/>
      <c r="J276" s="3">
        <v>17</v>
      </c>
      <c r="K276" s="3">
        <f>F276*J276/1000</f>
        <v>5.9499999999999996E-3</v>
      </c>
    </row>
    <row r="277" spans="1:11" x14ac:dyDescent="0.3">
      <c r="A277" s="53"/>
      <c r="B277" s="53"/>
      <c r="E277" s="91" t="s">
        <v>119</v>
      </c>
      <c r="F277" s="91" t="s">
        <v>109</v>
      </c>
      <c r="G277" s="92"/>
      <c r="H277" s="296">
        <v>95</v>
      </c>
      <c r="I277" s="297"/>
    </row>
    <row r="278" spans="1:11" x14ac:dyDescent="0.3">
      <c r="A278" s="53"/>
      <c r="B278" s="53"/>
      <c r="E278" s="91" t="s">
        <v>5</v>
      </c>
      <c r="F278" s="91">
        <v>4</v>
      </c>
      <c r="G278" s="92"/>
      <c r="H278" s="296">
        <v>4</v>
      </c>
      <c r="I278" s="297"/>
      <c r="J278" s="3">
        <v>152</v>
      </c>
      <c r="K278" s="3">
        <f t="shared" ref="K278:K287" si="12">F278*J278/1000</f>
        <v>0.60799999999999998</v>
      </c>
    </row>
    <row r="279" spans="1:11" x14ac:dyDescent="0.3">
      <c r="A279" s="53"/>
      <c r="B279" s="53"/>
      <c r="E279" s="91" t="s">
        <v>123</v>
      </c>
      <c r="F279" s="91">
        <v>18</v>
      </c>
      <c r="G279" s="92"/>
      <c r="H279" s="296">
        <v>18</v>
      </c>
      <c r="I279" s="297"/>
      <c r="K279" s="3">
        <f t="shared" si="12"/>
        <v>0</v>
      </c>
    </row>
    <row r="280" spans="1:11" x14ac:dyDescent="0.3">
      <c r="A280" s="53"/>
      <c r="B280" s="53"/>
      <c r="E280" s="91" t="s">
        <v>105</v>
      </c>
      <c r="F280" s="91">
        <v>0.9</v>
      </c>
      <c r="G280" s="92"/>
      <c r="H280" s="296">
        <v>0.9</v>
      </c>
      <c r="I280" s="297"/>
      <c r="J280" s="3">
        <v>497.15</v>
      </c>
      <c r="K280" s="3">
        <f t="shared" si="12"/>
        <v>0.44743500000000003</v>
      </c>
    </row>
    <row r="281" spans="1:11" x14ac:dyDescent="0.3">
      <c r="A281" s="53"/>
      <c r="B281" s="53"/>
      <c r="E281" s="91" t="s">
        <v>34</v>
      </c>
      <c r="F281" s="91">
        <v>0.9</v>
      </c>
      <c r="G281" s="92"/>
      <c r="H281" s="296">
        <v>0.9</v>
      </c>
      <c r="I281" s="297"/>
      <c r="J281" s="3">
        <v>37</v>
      </c>
      <c r="K281" s="3">
        <f t="shared" si="12"/>
        <v>3.3300000000000003E-2</v>
      </c>
    </row>
    <row r="282" spans="1:11" x14ac:dyDescent="0.3">
      <c r="A282" s="53"/>
      <c r="B282" s="53"/>
      <c r="E282" s="91" t="s">
        <v>45</v>
      </c>
      <c r="F282" s="91">
        <v>1.5</v>
      </c>
      <c r="G282" s="92"/>
      <c r="H282" s="296">
        <v>1.2</v>
      </c>
      <c r="I282" s="297"/>
      <c r="J282" s="3">
        <v>30</v>
      </c>
      <c r="K282" s="3">
        <f t="shared" si="12"/>
        <v>4.4999999999999998E-2</v>
      </c>
    </row>
    <row r="283" spans="1:11" x14ac:dyDescent="0.3">
      <c r="A283" s="53"/>
      <c r="B283" s="53"/>
      <c r="E283" s="91" t="s">
        <v>44</v>
      </c>
      <c r="F283" s="91">
        <v>0.5</v>
      </c>
      <c r="G283" s="92"/>
      <c r="H283" s="296">
        <v>0.4</v>
      </c>
      <c r="I283" s="297"/>
      <c r="J283" s="3">
        <v>20</v>
      </c>
      <c r="K283" s="3">
        <f t="shared" si="12"/>
        <v>0.01</v>
      </c>
    </row>
    <row r="284" spans="1:11" x14ac:dyDescent="0.3">
      <c r="A284" s="53"/>
      <c r="B284" s="53"/>
      <c r="E284" s="91" t="s">
        <v>126</v>
      </c>
      <c r="F284" s="91">
        <v>2</v>
      </c>
      <c r="G284" s="92"/>
      <c r="H284" s="296">
        <v>2</v>
      </c>
      <c r="I284" s="297"/>
      <c r="J284" s="3">
        <v>138</v>
      </c>
      <c r="K284" s="3">
        <f t="shared" si="12"/>
        <v>0.27600000000000002</v>
      </c>
    </row>
    <row r="285" spans="1:11" x14ac:dyDescent="0.3">
      <c r="A285" s="53"/>
      <c r="B285" s="53"/>
      <c r="E285" s="91" t="s">
        <v>105</v>
      </c>
      <c r="F285" s="91">
        <v>0.3</v>
      </c>
      <c r="G285" s="92"/>
      <c r="H285" s="296">
        <v>0.3</v>
      </c>
      <c r="I285" s="297"/>
      <c r="J285" s="3">
        <v>497.15</v>
      </c>
      <c r="K285" s="3">
        <f t="shared" si="12"/>
        <v>0.14914499999999997</v>
      </c>
    </row>
    <row r="286" spans="1:11" x14ac:dyDescent="0.3">
      <c r="A286" s="53"/>
      <c r="B286" s="53"/>
      <c r="E286" s="91" t="s">
        <v>125</v>
      </c>
      <c r="F286" s="91">
        <v>0.2</v>
      </c>
      <c r="G286" s="92"/>
      <c r="H286" s="296">
        <v>0.2</v>
      </c>
      <c r="I286" s="297"/>
      <c r="J286" s="3">
        <v>72.27</v>
      </c>
      <c r="K286" s="3">
        <f t="shared" si="12"/>
        <v>1.4454E-2</v>
      </c>
    </row>
    <row r="287" spans="1:11" x14ac:dyDescent="0.3">
      <c r="A287" s="53"/>
      <c r="B287" s="53"/>
      <c r="E287" s="91" t="s">
        <v>124</v>
      </c>
      <c r="F287" s="91">
        <v>0.12</v>
      </c>
      <c r="G287" s="92"/>
      <c r="H287" s="296">
        <v>0.12</v>
      </c>
      <c r="I287" s="297"/>
      <c r="J287" s="3">
        <v>17</v>
      </c>
      <c r="K287" s="3">
        <f t="shared" si="12"/>
        <v>2.0400000000000001E-3</v>
      </c>
    </row>
    <row r="288" spans="1:11" x14ac:dyDescent="0.3">
      <c r="A288" s="53"/>
      <c r="B288" s="53"/>
      <c r="E288" s="91" t="s">
        <v>104</v>
      </c>
      <c r="F288" s="91">
        <v>20</v>
      </c>
      <c r="G288" s="92"/>
      <c r="H288" s="296">
        <v>20</v>
      </c>
      <c r="I288" s="297"/>
    </row>
    <row r="289" spans="1:11" x14ac:dyDescent="0.3">
      <c r="A289" s="53"/>
      <c r="B289" s="53"/>
      <c r="E289" s="91" t="s">
        <v>186</v>
      </c>
      <c r="F289" s="296" t="s">
        <v>109</v>
      </c>
      <c r="G289" s="297"/>
      <c r="H289" s="296">
        <v>20</v>
      </c>
      <c r="I289" s="297"/>
    </row>
    <row r="290" spans="1:11" x14ac:dyDescent="0.3">
      <c r="A290" s="53"/>
      <c r="B290" s="53"/>
      <c r="E290" s="97" t="s">
        <v>127</v>
      </c>
      <c r="F290" s="292">
        <v>100</v>
      </c>
      <c r="G290" s="293"/>
      <c r="H290" s="293"/>
      <c r="I290" s="293"/>
    </row>
    <row r="292" spans="1:11" x14ac:dyDescent="0.3">
      <c r="A292" s="53"/>
      <c r="B292" s="53"/>
      <c r="C292" s="51" t="s">
        <v>148</v>
      </c>
      <c r="D292" s="53">
        <v>150</v>
      </c>
      <c r="F292" s="335" t="s">
        <v>100</v>
      </c>
      <c r="G292" s="336"/>
      <c r="H292" s="335" t="s">
        <v>101</v>
      </c>
      <c r="I292" s="336"/>
      <c r="K292" s="164">
        <f>SUM(K293:K295)</f>
        <v>4.8765499999999999</v>
      </c>
    </row>
    <row r="293" spans="1:11" x14ac:dyDescent="0.3">
      <c r="A293" s="53"/>
      <c r="B293" s="53"/>
      <c r="E293" s="61" t="s">
        <v>13</v>
      </c>
      <c r="F293" s="62">
        <v>52</v>
      </c>
      <c r="G293" s="63"/>
      <c r="H293" s="337">
        <v>52</v>
      </c>
      <c r="I293" s="338"/>
      <c r="J293" s="3">
        <v>65</v>
      </c>
      <c r="K293" s="3">
        <f>F293*J293/1000</f>
        <v>3.38</v>
      </c>
    </row>
    <row r="294" spans="1:11" x14ac:dyDescent="0.3">
      <c r="A294" s="53"/>
      <c r="B294" s="53"/>
      <c r="E294" s="61" t="s">
        <v>106</v>
      </c>
      <c r="F294" s="65">
        <v>0.3</v>
      </c>
      <c r="G294" s="66"/>
      <c r="H294" s="280">
        <v>0.3</v>
      </c>
      <c r="I294" s="281"/>
      <c r="J294" s="3">
        <v>17</v>
      </c>
      <c r="K294" s="3">
        <f>F294*J294/1000</f>
        <v>5.0999999999999995E-3</v>
      </c>
    </row>
    <row r="295" spans="1:11" x14ac:dyDescent="0.3">
      <c r="A295" s="53"/>
      <c r="B295" s="53"/>
      <c r="E295" s="61" t="s">
        <v>105</v>
      </c>
      <c r="F295" s="67">
        <v>3</v>
      </c>
      <c r="G295" s="68"/>
      <c r="H295" s="339">
        <v>3</v>
      </c>
      <c r="I295" s="340"/>
      <c r="J295" s="3">
        <v>497.15</v>
      </c>
      <c r="K295" s="3">
        <f>F295*J295/1000</f>
        <v>1.4914499999999997</v>
      </c>
    </row>
    <row r="296" spans="1:11" x14ac:dyDescent="0.3">
      <c r="A296" s="53"/>
      <c r="B296" s="53"/>
      <c r="E296" s="70" t="s">
        <v>108</v>
      </c>
      <c r="F296" s="117" t="s">
        <v>109</v>
      </c>
      <c r="G296" s="118"/>
      <c r="H296" s="341">
        <v>150</v>
      </c>
      <c r="I296" s="342"/>
    </row>
    <row r="298" spans="1:11" x14ac:dyDescent="0.3">
      <c r="A298" s="53"/>
      <c r="B298" s="53"/>
      <c r="C298" s="51" t="s">
        <v>94</v>
      </c>
      <c r="D298" s="53">
        <v>100</v>
      </c>
      <c r="J298" s="3">
        <v>65</v>
      </c>
      <c r="K298" s="165">
        <f>J298*D298/1000</f>
        <v>6.5</v>
      </c>
    </row>
    <row r="300" spans="1:11" x14ac:dyDescent="0.3">
      <c r="A300" s="53"/>
      <c r="B300" s="53"/>
      <c r="C300" s="51" t="s">
        <v>130</v>
      </c>
      <c r="D300" s="53">
        <v>200</v>
      </c>
      <c r="F300" s="335" t="s">
        <v>100</v>
      </c>
      <c r="G300" s="336"/>
      <c r="H300" s="335" t="s">
        <v>101</v>
      </c>
      <c r="I300" s="336"/>
      <c r="K300" s="164">
        <f>SUM(K301:K304)</f>
        <v>8.514050000000001</v>
      </c>
    </row>
    <row r="301" spans="1:11" x14ac:dyDescent="0.3">
      <c r="A301" s="53"/>
      <c r="B301" s="53"/>
      <c r="E301" s="61" t="s">
        <v>131</v>
      </c>
      <c r="F301" s="62">
        <v>4</v>
      </c>
      <c r="G301" s="63"/>
      <c r="H301" s="337">
        <v>4</v>
      </c>
      <c r="I301" s="338"/>
      <c r="J301" s="3">
        <v>420</v>
      </c>
      <c r="K301" s="3">
        <f>J301*F301/1000</f>
        <v>1.68</v>
      </c>
    </row>
    <row r="302" spans="1:11" x14ac:dyDescent="0.3">
      <c r="A302" s="53"/>
      <c r="B302" s="53"/>
      <c r="E302" s="64" t="s">
        <v>107</v>
      </c>
      <c r="F302" s="65">
        <v>15</v>
      </c>
      <c r="G302" s="66"/>
      <c r="H302" s="280">
        <v>15</v>
      </c>
      <c r="I302" s="281"/>
      <c r="J302" s="3">
        <v>72.27</v>
      </c>
      <c r="K302" s="3">
        <f>J302*F302/1000</f>
        <v>1.08405</v>
      </c>
    </row>
    <row r="303" spans="1:11" x14ac:dyDescent="0.3">
      <c r="A303" s="53"/>
      <c r="B303" s="53"/>
      <c r="E303" s="64" t="s">
        <v>65</v>
      </c>
      <c r="F303" s="65">
        <v>100</v>
      </c>
      <c r="G303" s="66"/>
      <c r="H303" s="280">
        <v>100</v>
      </c>
      <c r="I303" s="281"/>
      <c r="J303" s="3">
        <v>57.5</v>
      </c>
      <c r="K303" s="3">
        <f>J303*F303/1000</f>
        <v>5.75</v>
      </c>
    </row>
    <row r="304" spans="1:11" x14ac:dyDescent="0.3">
      <c r="A304" s="53"/>
      <c r="B304" s="53"/>
      <c r="E304" s="64" t="s">
        <v>104</v>
      </c>
      <c r="F304" s="67">
        <v>81</v>
      </c>
      <c r="G304" s="68"/>
      <c r="H304" s="280">
        <v>81</v>
      </c>
      <c r="I304" s="281"/>
      <c r="J304" s="3">
        <v>0</v>
      </c>
      <c r="K304" s="3">
        <f>J304*F304/1000</f>
        <v>0</v>
      </c>
    </row>
    <row r="305" spans="1:24" x14ac:dyDescent="0.3">
      <c r="A305" s="53"/>
      <c r="B305" s="53"/>
      <c r="E305" s="70" t="s">
        <v>108</v>
      </c>
      <c r="F305" s="286" t="s">
        <v>109</v>
      </c>
      <c r="G305" s="286"/>
      <c r="H305" s="282">
        <v>200</v>
      </c>
      <c r="I305" s="282"/>
    </row>
    <row r="307" spans="1:24" x14ac:dyDescent="0.3">
      <c r="A307" s="53"/>
      <c r="B307" s="53"/>
      <c r="C307" s="51" t="s">
        <v>112</v>
      </c>
      <c r="D307" s="53">
        <v>40</v>
      </c>
      <c r="J307" s="3">
        <v>50.09</v>
      </c>
      <c r="K307" s="164">
        <f>D307*J307/1000</f>
        <v>2.0036</v>
      </c>
    </row>
    <row r="308" spans="1:24" ht="16.2" thickBot="1" x14ac:dyDescent="0.35">
      <c r="A308" s="81"/>
      <c r="B308" s="81"/>
      <c r="C308" s="81"/>
      <c r="D308" s="82"/>
      <c r="E308" s="82"/>
      <c r="F308" s="82"/>
      <c r="G308" s="82"/>
      <c r="H308" s="82"/>
      <c r="I308" s="82"/>
      <c r="J308" s="83"/>
      <c r="K308" s="83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</row>
    <row r="309" spans="1:24" x14ac:dyDescent="0.3">
      <c r="A309" s="166">
        <v>10</v>
      </c>
      <c r="B309" s="51">
        <f>K313+K315+K324+K326+K331+K309</f>
        <v>54.20075099999999</v>
      </c>
      <c r="C309" s="226" t="s">
        <v>336</v>
      </c>
      <c r="D309" s="227"/>
      <c r="E309" s="226" t="s">
        <v>335</v>
      </c>
      <c r="F309" s="229">
        <v>40</v>
      </c>
      <c r="G309" s="229"/>
      <c r="H309" s="227"/>
      <c r="I309" s="227"/>
      <c r="J309" s="230">
        <v>140</v>
      </c>
      <c r="K309" s="84">
        <f>F309*J309/1000</f>
        <v>5.6</v>
      </c>
    </row>
    <row r="310" spans="1:24" x14ac:dyDescent="0.3">
      <c r="B310" s="51">
        <f>D313+D315+D324+D326+D331+D309</f>
        <v>460</v>
      </c>
      <c r="C310" s="167"/>
      <c r="D310" s="168"/>
      <c r="E310" s="225"/>
      <c r="F310" s="334"/>
      <c r="G310" s="334"/>
      <c r="H310" s="168"/>
      <c r="I310" s="168"/>
      <c r="J310" s="89"/>
      <c r="K310" s="89"/>
    </row>
    <row r="311" spans="1:24" x14ac:dyDescent="0.3">
      <c r="C311" s="167"/>
      <c r="D311" s="168"/>
      <c r="E311" s="168"/>
      <c r="F311" s="170"/>
      <c r="G311" s="170"/>
      <c r="H311" s="170"/>
      <c r="I311" s="170"/>
      <c r="J311" s="89"/>
      <c r="K311" s="89"/>
    </row>
    <row r="313" spans="1:24" x14ac:dyDescent="0.3">
      <c r="C313" s="51" t="s">
        <v>169</v>
      </c>
      <c r="D313" s="53">
        <v>20</v>
      </c>
      <c r="E313" s="61" t="s">
        <v>170</v>
      </c>
      <c r="F313" s="133">
        <v>21</v>
      </c>
      <c r="G313" s="134"/>
      <c r="H313" s="279">
        <v>20</v>
      </c>
      <c r="I313" s="279"/>
      <c r="J313" s="3">
        <v>498</v>
      </c>
      <c r="K313" s="135">
        <f>F313*J313/1000</f>
        <v>10.458</v>
      </c>
    </row>
    <row r="315" spans="1:24" x14ac:dyDescent="0.3">
      <c r="C315" s="51" t="s">
        <v>153</v>
      </c>
      <c r="D315" s="53">
        <v>200</v>
      </c>
      <c r="F315" s="283" t="s">
        <v>100</v>
      </c>
      <c r="G315" s="283"/>
      <c r="H315" s="283" t="s">
        <v>101</v>
      </c>
      <c r="I315" s="283"/>
      <c r="K315" s="122">
        <f>SUM(K316:K321)</f>
        <v>34.286700999999994</v>
      </c>
    </row>
    <row r="316" spans="1:24" x14ac:dyDescent="0.3">
      <c r="E316" s="61" t="s">
        <v>154</v>
      </c>
      <c r="F316" s="62">
        <v>137.94</v>
      </c>
      <c r="G316" s="63"/>
      <c r="H316" s="279">
        <f t="shared" ref="H316:H320" si="13">F316</f>
        <v>137.94</v>
      </c>
      <c r="I316" s="279"/>
      <c r="J316" s="3">
        <v>140</v>
      </c>
      <c r="K316" s="3">
        <f t="shared" ref="K316:K321" si="14">F316*J316/1000</f>
        <v>19.311599999999999</v>
      </c>
    </row>
    <row r="317" spans="1:24" x14ac:dyDescent="0.3">
      <c r="E317" s="64" t="s">
        <v>103</v>
      </c>
      <c r="F317" s="65">
        <v>51.72</v>
      </c>
      <c r="G317" s="66"/>
      <c r="H317" s="279">
        <f t="shared" si="13"/>
        <v>51.72</v>
      </c>
      <c r="I317" s="279"/>
      <c r="J317" s="3">
        <v>57.5</v>
      </c>
      <c r="K317" s="3">
        <f t="shared" si="14"/>
        <v>2.9739</v>
      </c>
    </row>
    <row r="318" spans="1:24" x14ac:dyDescent="0.3">
      <c r="E318" s="64" t="s">
        <v>105</v>
      </c>
      <c r="F318" s="65">
        <v>6.9</v>
      </c>
      <c r="G318" s="66"/>
      <c r="H318" s="279">
        <f t="shared" si="13"/>
        <v>6.9</v>
      </c>
      <c r="I318" s="279"/>
      <c r="J318" s="3">
        <v>497.15</v>
      </c>
      <c r="K318" s="3">
        <f t="shared" si="14"/>
        <v>3.4303349999999999</v>
      </c>
    </row>
    <row r="319" spans="1:24" x14ac:dyDescent="0.3">
      <c r="E319" s="64" t="s">
        <v>116</v>
      </c>
      <c r="F319" s="65">
        <v>51.72</v>
      </c>
      <c r="G319" s="66"/>
      <c r="H319" s="279">
        <f t="shared" si="13"/>
        <v>51.72</v>
      </c>
      <c r="I319" s="279"/>
      <c r="K319" s="3">
        <f t="shared" si="14"/>
        <v>0</v>
      </c>
    </row>
    <row r="320" spans="1:24" x14ac:dyDescent="0.3">
      <c r="E320" s="64" t="s">
        <v>105</v>
      </c>
      <c r="F320" s="125">
        <v>17.239999999999998</v>
      </c>
      <c r="G320" s="126"/>
      <c r="H320" s="279">
        <f t="shared" si="13"/>
        <v>17.239999999999998</v>
      </c>
      <c r="I320" s="279"/>
      <c r="J320" s="3">
        <v>497.15</v>
      </c>
      <c r="K320" s="3">
        <f t="shared" si="14"/>
        <v>8.5708659999999988</v>
      </c>
    </row>
    <row r="321" spans="1:26" x14ac:dyDescent="0.3">
      <c r="E321" s="61"/>
      <c r="F321" s="279"/>
      <c r="G321" s="279"/>
      <c r="H321" s="279"/>
      <c r="I321" s="279"/>
      <c r="K321" s="3">
        <f t="shared" si="14"/>
        <v>0</v>
      </c>
    </row>
    <row r="322" spans="1:26" x14ac:dyDescent="0.3">
      <c r="E322" s="70" t="s">
        <v>108</v>
      </c>
      <c r="F322" s="286" t="s">
        <v>109</v>
      </c>
      <c r="G322" s="286"/>
      <c r="H322" s="282">
        <v>200</v>
      </c>
      <c r="I322" s="282"/>
    </row>
    <row r="324" spans="1:26" x14ac:dyDescent="0.3">
      <c r="A324" s="53"/>
      <c r="B324" s="53"/>
      <c r="E324" s="61"/>
      <c r="F324" s="279"/>
      <c r="G324" s="279"/>
      <c r="H324" s="279"/>
      <c r="I324" s="279"/>
      <c r="K324" s="135"/>
    </row>
    <row r="326" spans="1:26" x14ac:dyDescent="0.3">
      <c r="A326" s="53"/>
      <c r="B326" s="53"/>
      <c r="C326" s="51" t="s">
        <v>141</v>
      </c>
      <c r="D326" s="53">
        <v>200</v>
      </c>
      <c r="F326" s="283" t="s">
        <v>100</v>
      </c>
      <c r="G326" s="283"/>
      <c r="H326" s="283" t="s">
        <v>101</v>
      </c>
      <c r="I326" s="283"/>
      <c r="K326" s="122">
        <f>K327+K328</f>
        <v>1.4740500000000001</v>
      </c>
    </row>
    <row r="327" spans="1:26" x14ac:dyDescent="0.3">
      <c r="A327" s="53"/>
      <c r="B327" s="53"/>
      <c r="E327" s="61" t="s">
        <v>8</v>
      </c>
      <c r="F327" s="62">
        <v>0.6</v>
      </c>
      <c r="G327" s="63"/>
      <c r="H327" s="279">
        <v>0.6</v>
      </c>
      <c r="I327" s="279"/>
      <c r="J327" s="3">
        <v>650</v>
      </c>
      <c r="K327" s="3">
        <f>J327*F327/1000</f>
        <v>0.39</v>
      </c>
    </row>
    <row r="328" spans="1:26" x14ac:dyDescent="0.3">
      <c r="A328" s="53"/>
      <c r="B328" s="53"/>
      <c r="E328" s="64" t="s">
        <v>107</v>
      </c>
      <c r="F328" s="67">
        <v>15</v>
      </c>
      <c r="G328" s="68"/>
      <c r="H328" s="280">
        <v>15</v>
      </c>
      <c r="I328" s="281"/>
      <c r="J328" s="3">
        <v>72.27</v>
      </c>
      <c r="K328" s="3">
        <f>J328*F328/1000</f>
        <v>1.08405</v>
      </c>
    </row>
    <row r="329" spans="1:26" x14ac:dyDescent="0.3">
      <c r="A329" s="53"/>
      <c r="B329" s="53"/>
      <c r="E329" s="70" t="s">
        <v>108</v>
      </c>
      <c r="F329" s="117" t="s">
        <v>109</v>
      </c>
      <c r="G329" s="118"/>
      <c r="H329" s="282">
        <v>200</v>
      </c>
      <c r="I329" s="282"/>
    </row>
    <row r="331" spans="1:26" ht="16.2" thickBot="1" x14ac:dyDescent="0.35">
      <c r="A331" s="82"/>
      <c r="B331" s="82"/>
      <c r="C331" s="81" t="s">
        <v>142</v>
      </c>
      <c r="D331" s="82">
        <v>40</v>
      </c>
      <c r="E331" s="82"/>
      <c r="F331" s="82"/>
      <c r="G331" s="82"/>
      <c r="H331" s="82"/>
      <c r="I331" s="82"/>
      <c r="J331" s="83">
        <v>59.55</v>
      </c>
      <c r="K331" s="171">
        <f>D331*J331/1000</f>
        <v>2.3820000000000001</v>
      </c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</sheetData>
  <mergeCells count="295">
    <mergeCell ref="E5:E7"/>
    <mergeCell ref="E17:E19"/>
    <mergeCell ref="F18:I18"/>
    <mergeCell ref="F19:G19"/>
    <mergeCell ref="H19:I19"/>
    <mergeCell ref="H20:I20"/>
    <mergeCell ref="F34:G34"/>
    <mergeCell ref="H34:I34"/>
    <mergeCell ref="H35:I35"/>
    <mergeCell ref="H36:I36"/>
    <mergeCell ref="H37:I37"/>
    <mergeCell ref="H38:I38"/>
    <mergeCell ref="H21:I21"/>
    <mergeCell ref="H22:I22"/>
    <mergeCell ref="H23:I23"/>
    <mergeCell ref="F24:G24"/>
    <mergeCell ref="H24:I24"/>
    <mergeCell ref="F33:I33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H59:I59"/>
    <mergeCell ref="H60:I60"/>
    <mergeCell ref="H61:I61"/>
    <mergeCell ref="F62:G62"/>
    <mergeCell ref="H62:I62"/>
    <mergeCell ref="F64:G64"/>
    <mergeCell ref="H64:I64"/>
    <mergeCell ref="H51:I51"/>
    <mergeCell ref="H52:I52"/>
    <mergeCell ref="H53:I53"/>
    <mergeCell ref="H54:I54"/>
    <mergeCell ref="F55:I55"/>
    <mergeCell ref="F58:G58"/>
    <mergeCell ref="H58:I58"/>
    <mergeCell ref="F76:G76"/>
    <mergeCell ref="H76:I76"/>
    <mergeCell ref="H77:I77"/>
    <mergeCell ref="F78:G78"/>
    <mergeCell ref="H78:I78"/>
    <mergeCell ref="H80:I80"/>
    <mergeCell ref="H65:I65"/>
    <mergeCell ref="H66:I66"/>
    <mergeCell ref="H67:I67"/>
    <mergeCell ref="H68:I68"/>
    <mergeCell ref="F69:G69"/>
    <mergeCell ref="H69:I69"/>
    <mergeCell ref="H87:I87"/>
    <mergeCell ref="H88:I88"/>
    <mergeCell ref="H89:I89"/>
    <mergeCell ref="H90:I90"/>
    <mergeCell ref="F91:G91"/>
    <mergeCell ref="H91:I91"/>
    <mergeCell ref="H81:I81"/>
    <mergeCell ref="H82:I82"/>
    <mergeCell ref="H83:I83"/>
    <mergeCell ref="H84:I84"/>
    <mergeCell ref="H85:I85"/>
    <mergeCell ref="H86:I86"/>
    <mergeCell ref="F97:G97"/>
    <mergeCell ref="H97:I97"/>
    <mergeCell ref="F104:G104"/>
    <mergeCell ref="H104:I104"/>
    <mergeCell ref="F105:G105"/>
    <mergeCell ref="F106:G106"/>
    <mergeCell ref="H106:I106"/>
    <mergeCell ref="F92:G92"/>
    <mergeCell ref="H92:I92"/>
    <mergeCell ref="F94:G94"/>
    <mergeCell ref="H94:I94"/>
    <mergeCell ref="H95:I95"/>
    <mergeCell ref="H96:I96"/>
    <mergeCell ref="F110:G110"/>
    <mergeCell ref="H110:I110"/>
    <mergeCell ref="F111:G111"/>
    <mergeCell ref="H111:I111"/>
    <mergeCell ref="F112:I112"/>
    <mergeCell ref="H113:I113"/>
    <mergeCell ref="F107:G107"/>
    <mergeCell ref="H107:I107"/>
    <mergeCell ref="F108:G108"/>
    <mergeCell ref="H108:I108"/>
    <mergeCell ref="F109:G109"/>
    <mergeCell ref="H109:I109"/>
    <mergeCell ref="F121:G121"/>
    <mergeCell ref="H121:I121"/>
    <mergeCell ref="H122:I122"/>
    <mergeCell ref="H123:I123"/>
    <mergeCell ref="H124:I124"/>
    <mergeCell ref="F125:G125"/>
    <mergeCell ref="H125:I125"/>
    <mergeCell ref="F115:G115"/>
    <mergeCell ref="H115:I115"/>
    <mergeCell ref="H116:I116"/>
    <mergeCell ref="H117:I117"/>
    <mergeCell ref="H118:I118"/>
    <mergeCell ref="H119:I119"/>
    <mergeCell ref="F133:G133"/>
    <mergeCell ref="F134:G134"/>
    <mergeCell ref="H134:I134"/>
    <mergeCell ref="F135:G135"/>
    <mergeCell ref="H135:I135"/>
    <mergeCell ref="F137:G137"/>
    <mergeCell ref="H137:I137"/>
    <mergeCell ref="F129:G129"/>
    <mergeCell ref="H129:I129"/>
    <mergeCell ref="F131:G131"/>
    <mergeCell ref="H131:I131"/>
    <mergeCell ref="F132:G132"/>
    <mergeCell ref="H132:I132"/>
    <mergeCell ref="F144:G144"/>
    <mergeCell ref="H144:I144"/>
    <mergeCell ref="F145:G145"/>
    <mergeCell ref="H145:I145"/>
    <mergeCell ref="H146:I146"/>
    <mergeCell ref="F150:G150"/>
    <mergeCell ref="H150:I150"/>
    <mergeCell ref="H138:I138"/>
    <mergeCell ref="H139:I139"/>
    <mergeCell ref="H140:I140"/>
    <mergeCell ref="H141:I141"/>
    <mergeCell ref="H142:I142"/>
    <mergeCell ref="F143:G143"/>
    <mergeCell ref="H143:I143"/>
    <mergeCell ref="F159:G159"/>
    <mergeCell ref="H159:I159"/>
    <mergeCell ref="F160:G160"/>
    <mergeCell ref="H160:I160"/>
    <mergeCell ref="F161:G161"/>
    <mergeCell ref="H161:I161"/>
    <mergeCell ref="H151:I151"/>
    <mergeCell ref="H152:I152"/>
    <mergeCell ref="F153:G153"/>
    <mergeCell ref="H153:I153"/>
    <mergeCell ref="F157:G157"/>
    <mergeCell ref="H157:I157"/>
    <mergeCell ref="F165:G165"/>
    <mergeCell ref="H165:I165"/>
    <mergeCell ref="F166:G166"/>
    <mergeCell ref="H166:I166"/>
    <mergeCell ref="F167:G167"/>
    <mergeCell ref="H167:I167"/>
    <mergeCell ref="F162:G162"/>
    <mergeCell ref="H162:I162"/>
    <mergeCell ref="F163:G163"/>
    <mergeCell ref="H163:I163"/>
    <mergeCell ref="F164:G164"/>
    <mergeCell ref="H164:I164"/>
    <mergeCell ref="F172:G172"/>
    <mergeCell ref="H172:I172"/>
    <mergeCell ref="F173:G173"/>
    <mergeCell ref="H173:I173"/>
    <mergeCell ref="F174:G174"/>
    <mergeCell ref="H174:I174"/>
    <mergeCell ref="F168:G168"/>
    <mergeCell ref="H168:I168"/>
    <mergeCell ref="F169:G169"/>
    <mergeCell ref="H169:I169"/>
    <mergeCell ref="F171:G171"/>
    <mergeCell ref="H171:I171"/>
    <mergeCell ref="H183:I183"/>
    <mergeCell ref="H185:I185"/>
    <mergeCell ref="H187:I187"/>
    <mergeCell ref="H188:I188"/>
    <mergeCell ref="H189:I189"/>
    <mergeCell ref="H190:I190"/>
    <mergeCell ref="F175:G175"/>
    <mergeCell ref="H175:I175"/>
    <mergeCell ref="F176:G176"/>
    <mergeCell ref="H176:I176"/>
    <mergeCell ref="F178:G178"/>
    <mergeCell ref="H178:I178"/>
    <mergeCell ref="F204:G204"/>
    <mergeCell ref="F206:G206"/>
    <mergeCell ref="H206:I206"/>
    <mergeCell ref="H191:I191"/>
    <mergeCell ref="H192:I192"/>
    <mergeCell ref="H193:I193"/>
    <mergeCell ref="H195:I195"/>
    <mergeCell ref="H196:I196"/>
    <mergeCell ref="H197:I197"/>
    <mergeCell ref="H207:I207"/>
    <mergeCell ref="H208:I208"/>
    <mergeCell ref="H209:I209"/>
    <mergeCell ref="H210:I210"/>
    <mergeCell ref="H211:I211"/>
    <mergeCell ref="H212:I212"/>
    <mergeCell ref="H198:I198"/>
    <mergeCell ref="H199:I199"/>
    <mergeCell ref="H200:I200"/>
    <mergeCell ref="F242:G242"/>
    <mergeCell ref="H242:I242"/>
    <mergeCell ref="H221:I221"/>
    <mergeCell ref="H222:I222"/>
    <mergeCell ref="H223:I223"/>
    <mergeCell ref="H224:I224"/>
    <mergeCell ref="H225:I225"/>
    <mergeCell ref="H226:I226"/>
    <mergeCell ref="H213:I213"/>
    <mergeCell ref="H214:I214"/>
    <mergeCell ref="H215:I215"/>
    <mergeCell ref="F216:I216"/>
    <mergeCell ref="F220:G220"/>
    <mergeCell ref="H220:I220"/>
    <mergeCell ref="H243:I243"/>
    <mergeCell ref="H244:I244"/>
    <mergeCell ref="H245:I245"/>
    <mergeCell ref="H246:I246"/>
    <mergeCell ref="H247:I247"/>
    <mergeCell ref="H248:I248"/>
    <mergeCell ref="H228:I228"/>
    <mergeCell ref="H229:I229"/>
    <mergeCell ref="H230:I230"/>
    <mergeCell ref="H231:I231"/>
    <mergeCell ref="F267:G267"/>
    <mergeCell ref="H267:I267"/>
    <mergeCell ref="H256:I256"/>
    <mergeCell ref="H257:I257"/>
    <mergeCell ref="F258:G258"/>
    <mergeCell ref="H258:I258"/>
    <mergeCell ref="F262:G262"/>
    <mergeCell ref="H262:I262"/>
    <mergeCell ref="H249:I249"/>
    <mergeCell ref="H250:I250"/>
    <mergeCell ref="H251:I251"/>
    <mergeCell ref="H252:I252"/>
    <mergeCell ref="H254:I254"/>
    <mergeCell ref="H255:I255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H286:I286"/>
    <mergeCell ref="H287:I287"/>
    <mergeCell ref="H288:I288"/>
    <mergeCell ref="F289:G289"/>
    <mergeCell ref="H289:I289"/>
    <mergeCell ref="F290:I290"/>
    <mergeCell ref="H280:I280"/>
    <mergeCell ref="H281:I281"/>
    <mergeCell ref="H282:I282"/>
    <mergeCell ref="H283:I283"/>
    <mergeCell ref="H284:I284"/>
    <mergeCell ref="H285:I285"/>
    <mergeCell ref="F300:G300"/>
    <mergeCell ref="H300:I300"/>
    <mergeCell ref="H301:I301"/>
    <mergeCell ref="H302:I302"/>
    <mergeCell ref="H303:I303"/>
    <mergeCell ref="H304:I304"/>
    <mergeCell ref="F292:G292"/>
    <mergeCell ref="H292:I292"/>
    <mergeCell ref="H293:I293"/>
    <mergeCell ref="H294:I294"/>
    <mergeCell ref="H295:I295"/>
    <mergeCell ref="H296:I296"/>
    <mergeCell ref="F315:G315"/>
    <mergeCell ref="H315:I315"/>
    <mergeCell ref="H316:I316"/>
    <mergeCell ref="H317:I317"/>
    <mergeCell ref="H318:I318"/>
    <mergeCell ref="H319:I319"/>
    <mergeCell ref="F305:G305"/>
    <mergeCell ref="H305:I305"/>
    <mergeCell ref="F310:G310"/>
    <mergeCell ref="H313:I313"/>
    <mergeCell ref="F326:G326"/>
    <mergeCell ref="H326:I326"/>
    <mergeCell ref="H327:I327"/>
    <mergeCell ref="H328:I328"/>
    <mergeCell ref="H329:I329"/>
    <mergeCell ref="H320:I320"/>
    <mergeCell ref="F321:G321"/>
    <mergeCell ref="H321:I321"/>
    <mergeCell ref="F322:G322"/>
    <mergeCell ref="H322:I322"/>
    <mergeCell ref="F324:G324"/>
    <mergeCell ref="H324:I3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8"/>
  <sheetViews>
    <sheetView tabSelected="1" view="pageBreakPreview" topLeftCell="B1" zoomScale="60" zoomScaleNormal="70" workbookViewId="0">
      <selection activeCell="C336" sqref="C336:D336"/>
    </sheetView>
  </sheetViews>
  <sheetFormatPr defaultRowHeight="14.4" x14ac:dyDescent="0.3"/>
  <cols>
    <col min="1" max="1" width="9" hidden="1" customWidth="1"/>
    <col min="2" max="2" width="9" style="202" customWidth="1"/>
    <col min="3" max="3" width="14" style="202" customWidth="1"/>
    <col min="4" max="4" width="17" style="202" customWidth="1"/>
    <col min="5" max="5" width="7" style="202" customWidth="1"/>
    <col min="6" max="6" width="8" style="202" customWidth="1"/>
    <col min="7" max="8" width="8.33203125" style="202" customWidth="1"/>
    <col min="9" max="9" width="7.88671875" style="202" customWidth="1"/>
    <col min="10" max="12" width="9.109375" style="202" customWidth="1"/>
    <col min="13" max="14" width="8.88671875" style="202" customWidth="1"/>
    <col min="15" max="16" width="7.6640625" style="202" customWidth="1"/>
    <col min="17" max="17" width="8.44140625" style="202" customWidth="1"/>
    <col min="18" max="18" width="9" style="202" customWidth="1"/>
    <col min="19" max="19" width="9.33203125" style="202" customWidth="1"/>
    <col min="20" max="20" width="8.5546875" style="202" customWidth="1"/>
  </cols>
  <sheetData>
    <row r="1" spans="2:20" x14ac:dyDescent="0.3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63" t="s">
        <v>187</v>
      </c>
      <c r="N1" s="363"/>
      <c r="O1" s="363"/>
      <c r="P1" s="363"/>
      <c r="Q1" s="363"/>
      <c r="R1" s="363"/>
      <c r="S1" s="363"/>
      <c r="T1" s="363"/>
    </row>
    <row r="2" spans="2:20" x14ac:dyDescent="0.3">
      <c r="B2" s="360" t="s">
        <v>188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2:20" x14ac:dyDescent="0.3">
      <c r="B3" s="360" t="s">
        <v>189</v>
      </c>
      <c r="C3" s="360"/>
      <c r="D3" s="173"/>
      <c r="E3" s="173"/>
      <c r="F3" s="173"/>
      <c r="G3" s="363" t="s">
        <v>190</v>
      </c>
      <c r="H3" s="363"/>
      <c r="I3" s="363"/>
      <c r="J3" s="173"/>
      <c r="K3" s="173"/>
      <c r="L3" s="360" t="s">
        <v>191</v>
      </c>
      <c r="M3" s="360"/>
      <c r="N3" s="363" t="s">
        <v>192</v>
      </c>
      <c r="O3" s="363"/>
      <c r="P3" s="363"/>
      <c r="Q3" s="363"/>
      <c r="R3" s="173"/>
      <c r="S3" s="173"/>
      <c r="T3" s="173"/>
    </row>
    <row r="4" spans="2:20" x14ac:dyDescent="0.3">
      <c r="B4" s="363" t="s">
        <v>193</v>
      </c>
      <c r="C4" s="363"/>
      <c r="D4" s="363"/>
      <c r="E4" s="360" t="s">
        <v>194</v>
      </c>
      <c r="F4" s="360"/>
      <c r="G4" s="173">
        <v>1</v>
      </c>
      <c r="H4" s="173"/>
      <c r="I4" s="173"/>
      <c r="J4" s="173"/>
      <c r="K4" s="173"/>
      <c r="L4" s="360" t="s">
        <v>195</v>
      </c>
      <c r="M4" s="360"/>
      <c r="N4" s="363" t="s">
        <v>196</v>
      </c>
      <c r="O4" s="363"/>
      <c r="P4" s="363"/>
      <c r="Q4" s="363"/>
      <c r="R4" s="363"/>
      <c r="S4" s="363"/>
      <c r="T4" s="363"/>
    </row>
    <row r="5" spans="2:20" x14ac:dyDescent="0.3">
      <c r="B5" s="361" t="s">
        <v>197</v>
      </c>
      <c r="C5" s="361" t="s">
        <v>198</v>
      </c>
      <c r="D5" s="361"/>
      <c r="E5" s="361" t="s">
        <v>199</v>
      </c>
      <c r="F5" s="361" t="s">
        <v>200</v>
      </c>
      <c r="G5" s="361"/>
      <c r="H5" s="361"/>
      <c r="I5" s="174" t="s">
        <v>201</v>
      </c>
      <c r="J5" s="361" t="s">
        <v>202</v>
      </c>
      <c r="K5" s="361"/>
      <c r="L5" s="361"/>
      <c r="M5" s="361"/>
      <c r="N5" s="361"/>
      <c r="O5" s="361" t="s">
        <v>203</v>
      </c>
      <c r="P5" s="361"/>
      <c r="Q5" s="361"/>
      <c r="R5" s="361"/>
      <c r="S5" s="361"/>
      <c r="T5" s="361"/>
    </row>
    <row r="6" spans="2:20" ht="30" customHeight="1" x14ac:dyDescent="0.3">
      <c r="B6" s="361"/>
      <c r="C6" s="361"/>
      <c r="D6" s="361"/>
      <c r="E6" s="361"/>
      <c r="F6" s="174" t="s">
        <v>204</v>
      </c>
      <c r="G6" s="174" t="s">
        <v>205</v>
      </c>
      <c r="H6" s="174" t="s">
        <v>206</v>
      </c>
      <c r="I6" s="174" t="s">
        <v>207</v>
      </c>
      <c r="J6" s="174" t="s">
        <v>208</v>
      </c>
      <c r="K6" s="174" t="s">
        <v>209</v>
      </c>
      <c r="L6" s="174" t="s">
        <v>210</v>
      </c>
      <c r="M6" s="174" t="s">
        <v>211</v>
      </c>
      <c r="N6" s="174" t="s">
        <v>212</v>
      </c>
      <c r="O6" s="174" t="s">
        <v>213</v>
      </c>
      <c r="P6" s="174" t="s">
        <v>214</v>
      </c>
      <c r="Q6" s="174" t="s">
        <v>215</v>
      </c>
      <c r="R6" s="174" t="s">
        <v>216</v>
      </c>
      <c r="S6" s="174" t="s">
        <v>217</v>
      </c>
      <c r="T6" s="174" t="s">
        <v>218</v>
      </c>
    </row>
    <row r="7" spans="2:20" x14ac:dyDescent="0.3">
      <c r="B7" s="175">
        <v>1</v>
      </c>
      <c r="C7" s="362">
        <v>2</v>
      </c>
      <c r="D7" s="362"/>
      <c r="E7" s="175">
        <v>3</v>
      </c>
      <c r="F7" s="175">
        <v>4</v>
      </c>
      <c r="G7" s="175">
        <v>5</v>
      </c>
      <c r="H7" s="175">
        <v>6</v>
      </c>
      <c r="I7" s="175">
        <v>7</v>
      </c>
      <c r="J7" s="175">
        <v>8</v>
      </c>
      <c r="K7" s="175">
        <v>9</v>
      </c>
      <c r="L7" s="175">
        <v>10</v>
      </c>
      <c r="M7" s="175">
        <v>11</v>
      </c>
      <c r="N7" s="175">
        <v>12</v>
      </c>
      <c r="O7" s="175">
        <v>13</v>
      </c>
      <c r="P7" s="175">
        <v>14</v>
      </c>
      <c r="Q7" s="175">
        <v>15</v>
      </c>
      <c r="R7" s="175">
        <v>16</v>
      </c>
      <c r="S7" s="175">
        <v>17</v>
      </c>
      <c r="T7" s="175">
        <v>18</v>
      </c>
    </row>
    <row r="8" spans="2:20" s="176" customFormat="1" x14ac:dyDescent="0.3">
      <c r="B8" s="350" t="s">
        <v>219</v>
      </c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</row>
    <row r="9" spans="2:20" s="176" customFormat="1" ht="18.75" customHeight="1" x14ac:dyDescent="0.3">
      <c r="B9" s="177">
        <v>338</v>
      </c>
      <c r="C9" s="352" t="s">
        <v>220</v>
      </c>
      <c r="D9" s="352"/>
      <c r="E9" s="177">
        <v>100</v>
      </c>
      <c r="F9" s="177">
        <v>0.4</v>
      </c>
      <c r="G9" s="177">
        <v>0.4</v>
      </c>
      <c r="H9" s="177">
        <v>9.8000000000000007</v>
      </c>
      <c r="I9" s="177">
        <v>42</v>
      </c>
      <c r="J9" s="177">
        <v>0.04</v>
      </c>
      <c r="K9" s="177">
        <v>0.02</v>
      </c>
      <c r="L9" s="177">
        <v>10</v>
      </c>
      <c r="M9" s="177">
        <v>0</v>
      </c>
      <c r="N9" s="177">
        <v>0.2</v>
      </c>
      <c r="O9" s="177">
        <v>16</v>
      </c>
      <c r="P9" s="177">
        <v>11</v>
      </c>
      <c r="Q9" s="177">
        <v>0</v>
      </c>
      <c r="R9" s="177">
        <v>0</v>
      </c>
      <c r="S9" s="177">
        <v>9</v>
      </c>
      <c r="T9" s="177">
        <v>2.2000000000000002</v>
      </c>
    </row>
    <row r="10" spans="2:20" s="176" customFormat="1" ht="28.5" customHeight="1" x14ac:dyDescent="0.3">
      <c r="B10" s="177">
        <v>15</v>
      </c>
      <c r="C10" s="352" t="s">
        <v>221</v>
      </c>
      <c r="D10" s="352"/>
      <c r="E10" s="177">
        <v>20</v>
      </c>
      <c r="F10" s="177">
        <v>4.6399999999999997</v>
      </c>
      <c r="G10" s="177">
        <v>6.8</v>
      </c>
      <c r="H10" s="177">
        <v>0.02</v>
      </c>
      <c r="I10" s="177">
        <v>79.8</v>
      </c>
      <c r="J10" s="177">
        <v>0.01</v>
      </c>
      <c r="K10" s="177">
        <v>0.06</v>
      </c>
      <c r="L10" s="177">
        <v>0.14000000000000001</v>
      </c>
      <c r="M10" s="177">
        <v>4.5999999999999999E-2</v>
      </c>
      <c r="N10" s="177">
        <v>0.1</v>
      </c>
      <c r="O10" s="177">
        <v>176</v>
      </c>
      <c r="P10" s="177">
        <v>100</v>
      </c>
      <c r="Q10" s="177">
        <v>0.8</v>
      </c>
      <c r="R10" s="177">
        <v>0.04</v>
      </c>
      <c r="S10" s="177">
        <v>7</v>
      </c>
      <c r="T10" s="177">
        <v>0.26</v>
      </c>
    </row>
    <row r="11" spans="2:20" s="176" customFormat="1" ht="26.25" customHeight="1" x14ac:dyDescent="0.3">
      <c r="B11" s="177">
        <v>173</v>
      </c>
      <c r="C11" s="352" t="s">
        <v>222</v>
      </c>
      <c r="D11" s="352"/>
      <c r="E11" s="177">
        <v>200</v>
      </c>
      <c r="F11" s="177">
        <v>7.23</v>
      </c>
      <c r="G11" s="177">
        <v>9.81</v>
      </c>
      <c r="H11" s="177">
        <v>28.8</v>
      </c>
      <c r="I11" s="177">
        <v>225.2</v>
      </c>
      <c r="J11" s="177">
        <v>0.22</v>
      </c>
      <c r="K11" s="177">
        <v>0.2</v>
      </c>
      <c r="L11" s="177">
        <v>1.3</v>
      </c>
      <c r="M11" s="177">
        <v>0.08</v>
      </c>
      <c r="N11" s="177">
        <v>0</v>
      </c>
      <c r="O11" s="177">
        <v>142.58000000000001</v>
      </c>
      <c r="P11" s="177">
        <v>222.38</v>
      </c>
      <c r="Q11" s="177">
        <v>0</v>
      </c>
      <c r="R11" s="177">
        <v>1E-3</v>
      </c>
      <c r="S11" s="177">
        <v>65.69</v>
      </c>
      <c r="T11" s="177">
        <v>1.53</v>
      </c>
    </row>
    <row r="12" spans="2:20" s="176" customFormat="1" ht="17.25" customHeight="1" x14ac:dyDescent="0.3">
      <c r="B12" s="177">
        <v>382</v>
      </c>
      <c r="C12" s="352" t="s">
        <v>223</v>
      </c>
      <c r="D12" s="352"/>
      <c r="E12" s="177">
        <v>200</v>
      </c>
      <c r="F12" s="177">
        <v>3.5</v>
      </c>
      <c r="G12" s="177">
        <v>3.7</v>
      </c>
      <c r="H12" s="177">
        <v>25.5</v>
      </c>
      <c r="I12" s="177">
        <v>149.30000000000001</v>
      </c>
      <c r="J12" s="177">
        <v>0.06</v>
      </c>
      <c r="K12" s="177">
        <v>0.01</v>
      </c>
      <c r="L12" s="177">
        <v>1.6</v>
      </c>
      <c r="M12" s="177">
        <v>0.04</v>
      </c>
      <c r="N12" s="177">
        <v>0.4</v>
      </c>
      <c r="O12" s="177">
        <v>102.6</v>
      </c>
      <c r="P12" s="177">
        <v>178.4</v>
      </c>
      <c r="Q12" s="177">
        <v>1</v>
      </c>
      <c r="R12" s="177">
        <v>1.2999999999999999E-2</v>
      </c>
      <c r="S12" s="177">
        <v>24.8</v>
      </c>
      <c r="T12" s="177">
        <v>1</v>
      </c>
    </row>
    <row r="13" spans="2:20" s="176" customFormat="1" x14ac:dyDescent="0.3">
      <c r="B13" s="177" t="s">
        <v>224</v>
      </c>
      <c r="C13" s="352" t="s">
        <v>161</v>
      </c>
      <c r="D13" s="352"/>
      <c r="E13" s="177">
        <v>40</v>
      </c>
      <c r="F13" s="177">
        <v>3.04</v>
      </c>
      <c r="G13" s="177">
        <v>0.32</v>
      </c>
      <c r="H13" s="177">
        <v>19.68</v>
      </c>
      <c r="I13" s="177">
        <v>88.8</v>
      </c>
      <c r="J13" s="177">
        <v>0.04</v>
      </c>
      <c r="K13" s="177">
        <v>0.01</v>
      </c>
      <c r="L13" s="177">
        <v>0.88</v>
      </c>
      <c r="M13" s="177">
        <v>0</v>
      </c>
      <c r="N13" s="177">
        <v>0.7</v>
      </c>
      <c r="O13" s="177">
        <v>8</v>
      </c>
      <c r="P13" s="177">
        <v>26</v>
      </c>
      <c r="Q13" s="177">
        <v>8.0000000000000002E-3</v>
      </c>
      <c r="R13" s="177">
        <v>3.0000000000000001E-3</v>
      </c>
      <c r="S13" s="177">
        <v>0</v>
      </c>
      <c r="T13" s="177">
        <v>0.44</v>
      </c>
    </row>
    <row r="14" spans="2:20" s="176" customFormat="1" ht="20.25" customHeight="1" x14ac:dyDescent="0.3">
      <c r="B14" s="374" t="s">
        <v>225</v>
      </c>
      <c r="C14" s="374"/>
      <c r="D14" s="374"/>
      <c r="E14" s="178">
        <f>SUM(E9:E13)</f>
        <v>560</v>
      </c>
      <c r="F14" s="178">
        <f t="shared" ref="F14:T14" si="0">SUM(F9:F13)</f>
        <v>18.809999999999999</v>
      </c>
      <c r="G14" s="178">
        <f t="shared" si="0"/>
        <v>21.03</v>
      </c>
      <c r="H14" s="178">
        <f t="shared" si="0"/>
        <v>83.800000000000011</v>
      </c>
      <c r="I14" s="178">
        <f t="shared" si="0"/>
        <v>585.1</v>
      </c>
      <c r="J14" s="178">
        <f t="shared" si="0"/>
        <v>0.37</v>
      </c>
      <c r="K14" s="178">
        <f t="shared" si="0"/>
        <v>0.30000000000000004</v>
      </c>
      <c r="L14" s="178">
        <f t="shared" si="0"/>
        <v>13.920000000000002</v>
      </c>
      <c r="M14" s="178">
        <f t="shared" si="0"/>
        <v>0.16600000000000001</v>
      </c>
      <c r="N14" s="178">
        <f t="shared" si="0"/>
        <v>1.4</v>
      </c>
      <c r="O14" s="178">
        <f t="shared" si="0"/>
        <v>445.18000000000006</v>
      </c>
      <c r="P14" s="178">
        <f t="shared" si="0"/>
        <v>537.78</v>
      </c>
      <c r="Q14" s="178">
        <f t="shared" si="0"/>
        <v>1.8080000000000001</v>
      </c>
      <c r="R14" s="178">
        <f t="shared" si="0"/>
        <v>5.7000000000000002E-2</v>
      </c>
      <c r="S14" s="178">
        <f t="shared" si="0"/>
        <v>106.49</v>
      </c>
      <c r="T14" s="178">
        <f t="shared" si="0"/>
        <v>5.4300000000000006</v>
      </c>
    </row>
    <row r="15" spans="2:20" s="176" customFormat="1" x14ac:dyDescent="0.3">
      <c r="B15" s="350" t="s">
        <v>226</v>
      </c>
      <c r="C15" s="350"/>
      <c r="D15" s="350"/>
      <c r="E15" s="350"/>
      <c r="F15" s="179">
        <f t="shared" ref="F15:T15" si="1">F14/F35</f>
        <v>0.24428571428571427</v>
      </c>
      <c r="G15" s="179">
        <f t="shared" si="1"/>
        <v>0.26620253164556962</v>
      </c>
      <c r="H15" s="179">
        <f t="shared" si="1"/>
        <v>0.25014925373134334</v>
      </c>
      <c r="I15" s="179">
        <f t="shared" si="1"/>
        <v>0.24897872340425534</v>
      </c>
      <c r="J15" s="179">
        <f t="shared" si="1"/>
        <v>0.30833333333333335</v>
      </c>
      <c r="K15" s="179">
        <f t="shared" si="1"/>
        <v>0.21428571428571433</v>
      </c>
      <c r="L15" s="179">
        <f t="shared" si="1"/>
        <v>0.23200000000000004</v>
      </c>
      <c r="M15" s="179">
        <f t="shared" si="1"/>
        <v>0.23714285714285718</v>
      </c>
      <c r="N15" s="179">
        <f t="shared" si="1"/>
        <v>0.13999999999999999</v>
      </c>
      <c r="O15" s="179">
        <f t="shared" si="1"/>
        <v>0.40470909090909096</v>
      </c>
      <c r="P15" s="179">
        <f t="shared" si="1"/>
        <v>0.48889090909090904</v>
      </c>
      <c r="Q15" s="179">
        <f t="shared" si="1"/>
        <v>0.18080000000000002</v>
      </c>
      <c r="R15" s="179">
        <f t="shared" si="1"/>
        <v>0.56999999999999995</v>
      </c>
      <c r="S15" s="179">
        <f t="shared" si="1"/>
        <v>0.42596000000000001</v>
      </c>
      <c r="T15" s="179">
        <f t="shared" si="1"/>
        <v>0.45250000000000007</v>
      </c>
    </row>
    <row r="16" spans="2:20" s="176" customFormat="1" x14ac:dyDescent="0.3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2:20" s="176" customFormat="1" x14ac:dyDescent="0.3">
      <c r="B17" s="350" t="s">
        <v>227</v>
      </c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</row>
    <row r="18" spans="2:20" s="176" customFormat="1" ht="16.5" customHeight="1" x14ac:dyDescent="0.3">
      <c r="B18" s="177" t="s">
        <v>228</v>
      </c>
      <c r="C18" s="352" t="s">
        <v>229</v>
      </c>
      <c r="D18" s="352"/>
      <c r="E18" s="177">
        <v>60</v>
      </c>
      <c r="F18" s="177">
        <v>1.03</v>
      </c>
      <c r="G18" s="177">
        <v>3</v>
      </c>
      <c r="H18" s="177">
        <v>5.08</v>
      </c>
      <c r="I18" s="177">
        <v>51.42</v>
      </c>
      <c r="J18" s="177">
        <v>0.01</v>
      </c>
      <c r="K18" s="177">
        <v>0.02</v>
      </c>
      <c r="L18" s="177">
        <v>11.89</v>
      </c>
      <c r="M18" s="177">
        <v>0.01</v>
      </c>
      <c r="N18" s="177"/>
      <c r="O18" s="177">
        <v>31.34</v>
      </c>
      <c r="P18" s="177">
        <v>20.37</v>
      </c>
      <c r="Q18" s="177"/>
      <c r="R18" s="177">
        <v>0</v>
      </c>
      <c r="S18" s="177">
        <v>9.61</v>
      </c>
      <c r="T18" s="177">
        <v>0.4</v>
      </c>
    </row>
    <row r="19" spans="2:20" s="176" customFormat="1" ht="30" customHeight="1" x14ac:dyDescent="0.3">
      <c r="B19" s="177">
        <v>45</v>
      </c>
      <c r="C19" s="352" t="s">
        <v>230</v>
      </c>
      <c r="D19" s="352"/>
      <c r="E19" s="177">
        <v>60</v>
      </c>
      <c r="F19" s="177">
        <v>0.9</v>
      </c>
      <c r="G19" s="177">
        <v>1.31</v>
      </c>
      <c r="H19" s="177">
        <v>5.6</v>
      </c>
      <c r="I19" s="177">
        <v>37.79</v>
      </c>
      <c r="J19" s="177">
        <v>0.06</v>
      </c>
      <c r="K19" s="177">
        <v>7.0000000000000007E-2</v>
      </c>
      <c r="L19" s="177">
        <v>15.5</v>
      </c>
      <c r="M19" s="177">
        <v>7.0999999999999994E-2</v>
      </c>
      <c r="N19" s="177">
        <v>0.3</v>
      </c>
      <c r="O19" s="177">
        <v>28.2</v>
      </c>
      <c r="P19" s="177">
        <v>18.899999999999999</v>
      </c>
      <c r="Q19" s="177">
        <v>0.2</v>
      </c>
      <c r="R19" s="177">
        <v>1E-3</v>
      </c>
      <c r="S19" s="177">
        <v>10.5</v>
      </c>
      <c r="T19" s="177">
        <v>0.6</v>
      </c>
    </row>
    <row r="20" spans="2:20" s="176" customFormat="1" ht="17.25" customHeight="1" x14ac:dyDescent="0.3">
      <c r="B20" s="177">
        <v>102</v>
      </c>
      <c r="C20" s="352" t="s">
        <v>231</v>
      </c>
      <c r="D20" s="352"/>
      <c r="E20" s="177">
        <v>200</v>
      </c>
      <c r="F20" s="177">
        <v>4.4000000000000004</v>
      </c>
      <c r="G20" s="177">
        <v>4.22</v>
      </c>
      <c r="H20" s="177">
        <v>13.22</v>
      </c>
      <c r="I20" s="177">
        <v>118.6</v>
      </c>
      <c r="J20" s="177">
        <v>0.18</v>
      </c>
      <c r="K20" s="177">
        <v>0.06</v>
      </c>
      <c r="L20" s="177">
        <v>4.66</v>
      </c>
      <c r="M20" s="177">
        <v>0.18</v>
      </c>
      <c r="N20" s="177"/>
      <c r="O20" s="177">
        <v>34.14</v>
      </c>
      <c r="P20" s="177">
        <v>70.48</v>
      </c>
      <c r="Q20" s="177"/>
      <c r="R20" s="177"/>
      <c r="S20" s="177">
        <v>28.46</v>
      </c>
      <c r="T20" s="177">
        <v>1.64</v>
      </c>
    </row>
    <row r="21" spans="2:20" s="176" customFormat="1" ht="16.5" customHeight="1" x14ac:dyDescent="0.3">
      <c r="B21" s="177">
        <v>260</v>
      </c>
      <c r="C21" s="352" t="s">
        <v>232</v>
      </c>
      <c r="D21" s="352"/>
      <c r="E21" s="177">
        <v>90</v>
      </c>
      <c r="F21" s="177">
        <v>11.295</v>
      </c>
      <c r="G21" s="177">
        <v>11.691000000000001</v>
      </c>
      <c r="H21" s="177">
        <v>3.609</v>
      </c>
      <c r="I21" s="177">
        <v>164.25</v>
      </c>
      <c r="J21" s="177">
        <v>6.3E-2</v>
      </c>
      <c r="K21" s="177">
        <v>9.9000000000000005E-2</v>
      </c>
      <c r="L21" s="177">
        <v>4.5629999999999997</v>
      </c>
      <c r="M21" s="177">
        <v>1.341</v>
      </c>
      <c r="N21" s="177">
        <v>2.0249999999999999</v>
      </c>
      <c r="O21" s="177">
        <v>27.468</v>
      </c>
      <c r="P21" s="177">
        <v>107.271</v>
      </c>
      <c r="Q21" s="177"/>
      <c r="R21" s="177"/>
      <c r="S21" s="177">
        <v>21.626999999999999</v>
      </c>
      <c r="T21" s="177">
        <v>1.89</v>
      </c>
    </row>
    <row r="22" spans="2:20" s="176" customFormat="1" ht="28.5" customHeight="1" x14ac:dyDescent="0.3">
      <c r="B22" s="177">
        <v>203</v>
      </c>
      <c r="C22" s="352" t="s">
        <v>233</v>
      </c>
      <c r="D22" s="352"/>
      <c r="E22" s="177">
        <v>150</v>
      </c>
      <c r="F22" s="177">
        <v>5.7</v>
      </c>
      <c r="G22" s="177">
        <v>3.43</v>
      </c>
      <c r="H22" s="177">
        <v>36.450000000000003</v>
      </c>
      <c r="I22" s="177">
        <v>199.5</v>
      </c>
      <c r="J22" s="177">
        <v>0.09</v>
      </c>
      <c r="K22" s="177">
        <v>0.03</v>
      </c>
      <c r="L22" s="177">
        <v>0</v>
      </c>
      <c r="M22" s="177">
        <v>0.03</v>
      </c>
      <c r="N22" s="177">
        <v>1.25</v>
      </c>
      <c r="O22" s="177">
        <v>13.28</v>
      </c>
      <c r="P22" s="177">
        <v>46.21</v>
      </c>
      <c r="Q22" s="177">
        <v>0.78</v>
      </c>
      <c r="R22" s="177">
        <v>2E-3</v>
      </c>
      <c r="S22" s="177">
        <v>8.4700000000000006</v>
      </c>
      <c r="T22" s="177">
        <v>0.86</v>
      </c>
    </row>
    <row r="23" spans="2:20" s="176" customFormat="1" x14ac:dyDescent="0.3">
      <c r="B23" s="177">
        <v>377</v>
      </c>
      <c r="C23" s="352" t="s">
        <v>149</v>
      </c>
      <c r="D23" s="352"/>
      <c r="E23" s="177" t="s">
        <v>234</v>
      </c>
      <c r="F23" s="177">
        <v>0.26</v>
      </c>
      <c r="G23" s="177">
        <v>0.06</v>
      </c>
      <c r="H23" s="177">
        <v>15.22</v>
      </c>
      <c r="I23" s="177">
        <v>62.5</v>
      </c>
      <c r="J23" s="177"/>
      <c r="K23" s="177">
        <v>0.01</v>
      </c>
      <c r="L23" s="177">
        <v>2.9</v>
      </c>
      <c r="M23" s="177">
        <v>0</v>
      </c>
      <c r="N23" s="177">
        <v>0.06</v>
      </c>
      <c r="O23" s="177">
        <v>8.0500000000000007</v>
      </c>
      <c r="P23" s="177">
        <v>9.7799999999999994</v>
      </c>
      <c r="Q23" s="177">
        <v>0.02</v>
      </c>
      <c r="R23" s="177">
        <v>0</v>
      </c>
      <c r="S23" s="177">
        <v>5.24</v>
      </c>
      <c r="T23" s="177">
        <v>0.87</v>
      </c>
    </row>
    <row r="24" spans="2:20" s="176" customFormat="1" ht="15.75" customHeight="1" x14ac:dyDescent="0.3">
      <c r="B24" s="177" t="s">
        <v>224</v>
      </c>
      <c r="C24" s="352" t="s">
        <v>235</v>
      </c>
      <c r="D24" s="352"/>
      <c r="E24" s="177">
        <v>40</v>
      </c>
      <c r="F24" s="177">
        <v>2.64</v>
      </c>
      <c r="G24" s="177">
        <v>0.48</v>
      </c>
      <c r="H24" s="177">
        <v>13.68</v>
      </c>
      <c r="I24" s="177">
        <v>69.599999999999994</v>
      </c>
      <c r="J24" s="177">
        <v>0.08</v>
      </c>
      <c r="K24" s="177">
        <v>0.04</v>
      </c>
      <c r="L24" s="177">
        <v>0</v>
      </c>
      <c r="M24" s="177">
        <v>0</v>
      </c>
      <c r="N24" s="177">
        <v>2.4</v>
      </c>
      <c r="O24" s="177">
        <v>14</v>
      </c>
      <c r="P24" s="177">
        <v>63.2</v>
      </c>
      <c r="Q24" s="177">
        <v>1.2</v>
      </c>
      <c r="R24" s="177">
        <v>1E-3</v>
      </c>
      <c r="S24" s="177">
        <v>9.4</v>
      </c>
      <c r="T24" s="177">
        <v>0.78</v>
      </c>
    </row>
    <row r="25" spans="2:20" s="176" customFormat="1" x14ac:dyDescent="0.3">
      <c r="B25" s="177" t="s">
        <v>224</v>
      </c>
      <c r="C25" s="352" t="s">
        <v>117</v>
      </c>
      <c r="D25" s="352"/>
      <c r="E25" s="177">
        <v>30</v>
      </c>
      <c r="F25" s="177">
        <v>1.52</v>
      </c>
      <c r="G25" s="177">
        <v>0.16</v>
      </c>
      <c r="H25" s="177">
        <v>9.84</v>
      </c>
      <c r="I25" s="177">
        <v>46.9</v>
      </c>
      <c r="J25" s="177">
        <v>0.02</v>
      </c>
      <c r="K25" s="177">
        <v>0.01</v>
      </c>
      <c r="L25" s="177">
        <v>0.44</v>
      </c>
      <c r="M25" s="177">
        <v>0</v>
      </c>
      <c r="N25" s="177">
        <v>0.7</v>
      </c>
      <c r="O25" s="177">
        <v>4</v>
      </c>
      <c r="P25" s="177">
        <v>13</v>
      </c>
      <c r="Q25" s="177">
        <v>8.0000000000000002E-3</v>
      </c>
      <c r="R25" s="177">
        <v>1E-3</v>
      </c>
      <c r="S25" s="177">
        <v>0</v>
      </c>
      <c r="T25" s="177">
        <v>0.22</v>
      </c>
    </row>
    <row r="26" spans="2:20" s="176" customFormat="1" ht="20.25" customHeight="1" x14ac:dyDescent="0.3">
      <c r="B26" s="374" t="s">
        <v>236</v>
      </c>
      <c r="C26" s="374"/>
      <c r="D26" s="374"/>
      <c r="E26" s="178">
        <f>E19+E20+E21+E22+E24+E25+204</f>
        <v>774</v>
      </c>
      <c r="F26" s="178">
        <f>SUM(F19:F25)</f>
        <v>26.715</v>
      </c>
      <c r="G26" s="178">
        <f t="shared" ref="G26:T26" si="2">SUM(G19:G25)</f>
        <v>21.350999999999999</v>
      </c>
      <c r="H26" s="178">
        <f t="shared" si="2"/>
        <v>97.619</v>
      </c>
      <c r="I26" s="178">
        <f t="shared" si="2"/>
        <v>699.14</v>
      </c>
      <c r="J26" s="178">
        <f t="shared" si="2"/>
        <v>0.49300000000000005</v>
      </c>
      <c r="K26" s="178">
        <f t="shared" si="2"/>
        <v>0.31900000000000001</v>
      </c>
      <c r="L26" s="178">
        <f t="shared" si="2"/>
        <v>28.062999999999999</v>
      </c>
      <c r="M26" s="178">
        <f t="shared" si="2"/>
        <v>1.6220000000000001</v>
      </c>
      <c r="N26" s="178">
        <f t="shared" si="2"/>
        <v>6.7350000000000003</v>
      </c>
      <c r="O26" s="178">
        <f t="shared" si="2"/>
        <v>129.13800000000001</v>
      </c>
      <c r="P26" s="178">
        <f t="shared" si="2"/>
        <v>328.84100000000001</v>
      </c>
      <c r="Q26" s="178">
        <f t="shared" si="2"/>
        <v>2.2080000000000002</v>
      </c>
      <c r="R26" s="178">
        <f t="shared" si="2"/>
        <v>5.0000000000000001E-3</v>
      </c>
      <c r="S26" s="178">
        <f t="shared" si="2"/>
        <v>83.697000000000003</v>
      </c>
      <c r="T26" s="178">
        <f t="shared" si="2"/>
        <v>6.86</v>
      </c>
    </row>
    <row r="27" spans="2:20" s="176" customFormat="1" x14ac:dyDescent="0.3">
      <c r="B27" s="350" t="s">
        <v>226</v>
      </c>
      <c r="C27" s="350"/>
      <c r="D27" s="350"/>
      <c r="E27" s="350"/>
      <c r="F27" s="179">
        <f t="shared" ref="F27:T27" si="3">F26/F35</f>
        <v>0.34694805194805195</v>
      </c>
      <c r="G27" s="179">
        <f t="shared" si="3"/>
        <v>0.27026582278481009</v>
      </c>
      <c r="H27" s="179">
        <f t="shared" si="3"/>
        <v>0.29139999999999999</v>
      </c>
      <c r="I27" s="179">
        <f t="shared" si="3"/>
        <v>0.29750638297872339</v>
      </c>
      <c r="J27" s="179">
        <f t="shared" si="3"/>
        <v>0.41083333333333338</v>
      </c>
      <c r="K27" s="179">
        <f t="shared" si="3"/>
        <v>0.22785714285714287</v>
      </c>
      <c r="L27" s="179">
        <f t="shared" si="3"/>
        <v>0.46771666666666667</v>
      </c>
      <c r="M27" s="180">
        <f t="shared" si="3"/>
        <v>2.3171428571428576</v>
      </c>
      <c r="N27" s="179">
        <f t="shared" si="3"/>
        <v>0.67349999999999999</v>
      </c>
      <c r="O27" s="179">
        <f t="shared" si="3"/>
        <v>0.11739818181818182</v>
      </c>
      <c r="P27" s="179">
        <f t="shared" si="3"/>
        <v>0.29894636363636362</v>
      </c>
      <c r="Q27" s="179">
        <f t="shared" si="3"/>
        <v>0.22080000000000002</v>
      </c>
      <c r="R27" s="179">
        <f t="shared" si="3"/>
        <v>4.9999999999999996E-2</v>
      </c>
      <c r="S27" s="179">
        <f t="shared" si="3"/>
        <v>0.33478800000000003</v>
      </c>
      <c r="T27" s="179">
        <f t="shared" si="3"/>
        <v>0.57166666666666666</v>
      </c>
    </row>
    <row r="28" spans="2:20" s="181" customFormat="1" x14ac:dyDescent="0.3">
      <c r="B28" s="355" t="s">
        <v>237</v>
      </c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</row>
    <row r="29" spans="2:20" s="176" customFormat="1" ht="16.5" customHeight="1" x14ac:dyDescent="0.3">
      <c r="B29" s="177" t="s">
        <v>224</v>
      </c>
      <c r="C29" s="352" t="s">
        <v>238</v>
      </c>
      <c r="D29" s="352"/>
      <c r="E29" s="177">
        <v>100</v>
      </c>
      <c r="F29" s="177">
        <v>7.86</v>
      </c>
      <c r="G29" s="177">
        <v>5.57</v>
      </c>
      <c r="H29" s="177">
        <v>53.71</v>
      </c>
      <c r="I29" s="177">
        <v>297.14</v>
      </c>
      <c r="J29" s="177">
        <v>0.1</v>
      </c>
      <c r="K29" s="177">
        <v>0.04</v>
      </c>
      <c r="L29" s="177">
        <v>0</v>
      </c>
      <c r="M29" s="177">
        <v>0.1</v>
      </c>
      <c r="N29" s="177"/>
      <c r="O29" s="177">
        <v>16.170000000000002</v>
      </c>
      <c r="P29" s="177">
        <v>0</v>
      </c>
      <c r="Q29" s="177">
        <v>0</v>
      </c>
      <c r="R29" s="177">
        <v>0</v>
      </c>
      <c r="S29" s="177">
        <v>11.19</v>
      </c>
      <c r="T29" s="177">
        <v>0.9</v>
      </c>
    </row>
    <row r="30" spans="2:20" s="176" customFormat="1" ht="25.5" customHeight="1" x14ac:dyDescent="0.3">
      <c r="B30" s="173">
        <v>349</v>
      </c>
      <c r="C30" s="359" t="s">
        <v>239</v>
      </c>
      <c r="D30" s="359"/>
      <c r="E30" s="173">
        <v>200</v>
      </c>
      <c r="F30" s="173">
        <v>0.22</v>
      </c>
      <c r="G30" s="173">
        <v>0</v>
      </c>
      <c r="H30" s="173">
        <v>24.42</v>
      </c>
      <c r="I30" s="173">
        <v>98.56</v>
      </c>
      <c r="J30" s="173"/>
      <c r="K30" s="173"/>
      <c r="L30" s="173">
        <v>0.2</v>
      </c>
      <c r="M30" s="173"/>
      <c r="N30" s="173"/>
      <c r="O30" s="173">
        <v>22.6</v>
      </c>
      <c r="P30" s="173">
        <v>7.7</v>
      </c>
      <c r="Q30" s="173">
        <v>0</v>
      </c>
      <c r="R30" s="173">
        <v>0</v>
      </c>
      <c r="S30" s="173">
        <v>3</v>
      </c>
      <c r="T30" s="173">
        <v>0.66</v>
      </c>
    </row>
    <row r="31" spans="2:20" s="176" customFormat="1" ht="13.5" customHeight="1" x14ac:dyDescent="0.3">
      <c r="B31" s="356" t="s">
        <v>240</v>
      </c>
      <c r="C31" s="357"/>
      <c r="D31" s="358"/>
      <c r="E31" s="178">
        <f>E29+E30</f>
        <v>300</v>
      </c>
      <c r="F31" s="178">
        <f t="shared" ref="F31:T31" si="4">F29+F30</f>
        <v>8.08</v>
      </c>
      <c r="G31" s="178">
        <f t="shared" si="4"/>
        <v>5.57</v>
      </c>
      <c r="H31" s="178">
        <f t="shared" si="4"/>
        <v>78.13</v>
      </c>
      <c r="I31" s="178">
        <f t="shared" si="4"/>
        <v>395.7</v>
      </c>
      <c r="J31" s="178">
        <f t="shared" si="4"/>
        <v>0.1</v>
      </c>
      <c r="K31" s="178">
        <f t="shared" si="4"/>
        <v>0.04</v>
      </c>
      <c r="L31" s="178">
        <f t="shared" si="4"/>
        <v>0.2</v>
      </c>
      <c r="M31" s="178">
        <f t="shared" si="4"/>
        <v>0.1</v>
      </c>
      <c r="N31" s="178">
        <f t="shared" si="4"/>
        <v>0</v>
      </c>
      <c r="O31" s="178">
        <f t="shared" si="4"/>
        <v>38.770000000000003</v>
      </c>
      <c r="P31" s="178">
        <f t="shared" si="4"/>
        <v>7.7</v>
      </c>
      <c r="Q31" s="178">
        <f t="shared" si="4"/>
        <v>0</v>
      </c>
      <c r="R31" s="178">
        <f t="shared" si="4"/>
        <v>0</v>
      </c>
      <c r="S31" s="178">
        <f t="shared" si="4"/>
        <v>14.19</v>
      </c>
      <c r="T31" s="178">
        <f t="shared" si="4"/>
        <v>1.56</v>
      </c>
    </row>
    <row r="32" spans="2:20" s="176" customFormat="1" ht="15" customHeight="1" x14ac:dyDescent="0.3">
      <c r="B32" s="350" t="s">
        <v>226</v>
      </c>
      <c r="C32" s="350"/>
      <c r="D32" s="350"/>
      <c r="E32" s="350"/>
      <c r="F32" s="179">
        <f>F31/F35</f>
        <v>0.10493506493506494</v>
      </c>
      <c r="G32" s="179">
        <f t="shared" ref="G32:T32" si="5">G31/G35</f>
        <v>7.0506329113924057E-2</v>
      </c>
      <c r="H32" s="179">
        <f t="shared" si="5"/>
        <v>0.2332238805970149</v>
      </c>
      <c r="I32" s="179">
        <f t="shared" si="5"/>
        <v>0.16838297872340424</v>
      </c>
      <c r="J32" s="179">
        <f t="shared" si="5"/>
        <v>8.3333333333333343E-2</v>
      </c>
      <c r="K32" s="179">
        <f t="shared" si="5"/>
        <v>2.8571428571428574E-2</v>
      </c>
      <c r="L32" s="179">
        <f t="shared" si="5"/>
        <v>3.3333333333333335E-3</v>
      </c>
      <c r="M32" s="179">
        <f t="shared" si="5"/>
        <v>0.14285714285714288</v>
      </c>
      <c r="N32" s="179">
        <f t="shared" si="5"/>
        <v>0</v>
      </c>
      <c r="O32" s="179">
        <f t="shared" si="5"/>
        <v>3.5245454545454545E-2</v>
      </c>
      <c r="P32" s="179">
        <f t="shared" si="5"/>
        <v>7.0000000000000001E-3</v>
      </c>
      <c r="Q32" s="179">
        <f t="shared" si="5"/>
        <v>0</v>
      </c>
      <c r="R32" s="179">
        <f t="shared" si="5"/>
        <v>0</v>
      </c>
      <c r="S32" s="179">
        <f t="shared" si="5"/>
        <v>5.6759999999999998E-2</v>
      </c>
      <c r="T32" s="179">
        <f t="shared" si="5"/>
        <v>0.13</v>
      </c>
    </row>
    <row r="33" spans="2:20" s="176" customFormat="1" x14ac:dyDescent="0.3">
      <c r="B33" s="350" t="s">
        <v>226</v>
      </c>
      <c r="C33" s="350"/>
      <c r="D33" s="350"/>
      <c r="E33" s="350"/>
      <c r="F33" s="179">
        <v>8.5000000000000006E-2</v>
      </c>
      <c r="G33" s="179">
        <v>6.7000000000000004E-2</v>
      </c>
      <c r="H33" s="179">
        <v>0.13400000000000001</v>
      </c>
      <c r="I33" s="179">
        <v>0.108</v>
      </c>
      <c r="J33" s="179">
        <v>6.0999999999999999E-2</v>
      </c>
      <c r="K33" s="179">
        <v>0.21</v>
      </c>
      <c r="L33" s="179">
        <v>0.64800000000000002</v>
      </c>
      <c r="M33" s="179">
        <v>0.105</v>
      </c>
      <c r="N33" s="179">
        <v>0.1</v>
      </c>
      <c r="O33" s="179">
        <v>0.249</v>
      </c>
      <c r="P33" s="179">
        <v>0.187</v>
      </c>
      <c r="Q33" s="179">
        <v>6.2E-2</v>
      </c>
      <c r="R33" s="179">
        <v>2.7E-2</v>
      </c>
      <c r="S33" s="179">
        <v>0.16400000000000001</v>
      </c>
      <c r="T33" s="179">
        <v>0.16200000000000001</v>
      </c>
    </row>
    <row r="34" spans="2:20" s="176" customFormat="1" x14ac:dyDescent="0.3">
      <c r="B34" s="350" t="s">
        <v>241</v>
      </c>
      <c r="C34" s="350"/>
      <c r="D34" s="350"/>
      <c r="E34" s="350"/>
      <c r="F34" s="178">
        <f>F14+F26+F31</f>
        <v>53.604999999999997</v>
      </c>
      <c r="G34" s="178">
        <f t="shared" ref="G34:T34" si="6">G14+G26+G31</f>
        <v>47.951000000000001</v>
      </c>
      <c r="H34" s="178">
        <f t="shared" si="6"/>
        <v>259.54899999999998</v>
      </c>
      <c r="I34" s="178">
        <f t="shared" si="6"/>
        <v>1679.94</v>
      </c>
      <c r="J34" s="178">
        <f t="shared" si="6"/>
        <v>0.96299999999999997</v>
      </c>
      <c r="K34" s="178">
        <f t="shared" si="6"/>
        <v>0.65900000000000003</v>
      </c>
      <c r="L34" s="178">
        <f t="shared" si="6"/>
        <v>42.183000000000007</v>
      </c>
      <c r="M34" s="178">
        <f t="shared" si="6"/>
        <v>1.8880000000000001</v>
      </c>
      <c r="N34" s="178">
        <f t="shared" si="6"/>
        <v>8.1349999999999998</v>
      </c>
      <c r="O34" s="178">
        <f t="shared" si="6"/>
        <v>613.08800000000008</v>
      </c>
      <c r="P34" s="178">
        <f t="shared" si="6"/>
        <v>874.32100000000003</v>
      </c>
      <c r="Q34" s="178">
        <f t="shared" si="6"/>
        <v>4.016</v>
      </c>
      <c r="R34" s="178">
        <f t="shared" si="6"/>
        <v>6.2E-2</v>
      </c>
      <c r="S34" s="178">
        <f t="shared" si="6"/>
        <v>204.37700000000001</v>
      </c>
      <c r="T34" s="178">
        <f t="shared" si="6"/>
        <v>13.850000000000001</v>
      </c>
    </row>
    <row r="35" spans="2:20" s="176" customFormat="1" x14ac:dyDescent="0.3">
      <c r="B35" s="350" t="s">
        <v>242</v>
      </c>
      <c r="C35" s="350"/>
      <c r="D35" s="350"/>
      <c r="E35" s="350"/>
      <c r="F35" s="177">
        <v>77</v>
      </c>
      <c r="G35" s="177">
        <v>79</v>
      </c>
      <c r="H35" s="177">
        <v>335</v>
      </c>
      <c r="I35" s="177">
        <v>2350</v>
      </c>
      <c r="J35" s="177">
        <v>1.2</v>
      </c>
      <c r="K35" s="177">
        <v>1.4</v>
      </c>
      <c r="L35" s="177">
        <v>60</v>
      </c>
      <c r="M35" s="177">
        <v>0.7</v>
      </c>
      <c r="N35" s="177">
        <v>10</v>
      </c>
      <c r="O35" s="177">
        <v>1100</v>
      </c>
      <c r="P35" s="177">
        <v>1100</v>
      </c>
      <c r="Q35" s="177">
        <v>10</v>
      </c>
      <c r="R35" s="177">
        <v>0.1</v>
      </c>
      <c r="S35" s="177">
        <v>250</v>
      </c>
      <c r="T35" s="177">
        <v>12</v>
      </c>
    </row>
    <row r="36" spans="2:20" s="176" customFormat="1" x14ac:dyDescent="0.3">
      <c r="B36" s="350" t="s">
        <v>226</v>
      </c>
      <c r="C36" s="350"/>
      <c r="D36" s="350"/>
      <c r="E36" s="350"/>
      <c r="F36" s="179">
        <f>F34/F35</f>
        <v>0.6961688311688311</v>
      </c>
      <c r="G36" s="179">
        <f t="shared" ref="G36:T36" si="7">G34/G35</f>
        <v>0.60697468354430384</v>
      </c>
      <c r="H36" s="179">
        <f t="shared" si="7"/>
        <v>0.77477313432835815</v>
      </c>
      <c r="I36" s="179">
        <f t="shared" si="7"/>
        <v>0.714868085106383</v>
      </c>
      <c r="J36" s="179">
        <f t="shared" si="7"/>
        <v>0.80249999999999999</v>
      </c>
      <c r="K36" s="179">
        <f t="shared" si="7"/>
        <v>0.47071428571428575</v>
      </c>
      <c r="L36" s="179">
        <f t="shared" si="7"/>
        <v>0.70305000000000006</v>
      </c>
      <c r="M36" s="179">
        <f t="shared" si="7"/>
        <v>2.6971428571428575</v>
      </c>
      <c r="N36" s="179">
        <f t="shared" si="7"/>
        <v>0.8135</v>
      </c>
      <c r="O36" s="179">
        <f t="shared" si="7"/>
        <v>0.55735272727272733</v>
      </c>
      <c r="P36" s="179">
        <f t="shared" si="7"/>
        <v>0.79483727272727278</v>
      </c>
      <c r="Q36" s="179">
        <f t="shared" si="7"/>
        <v>0.40160000000000001</v>
      </c>
      <c r="R36" s="179">
        <f t="shared" si="7"/>
        <v>0.62</v>
      </c>
      <c r="S36" s="179">
        <f t="shared" si="7"/>
        <v>0.81750800000000001</v>
      </c>
      <c r="T36" s="179">
        <f t="shared" si="7"/>
        <v>1.1541666666666668</v>
      </c>
    </row>
    <row r="37" spans="2:20" s="176" customFormat="1" x14ac:dyDescent="0.3">
      <c r="B37" s="177"/>
      <c r="C37" s="177"/>
      <c r="D37" s="178"/>
      <c r="E37" s="178"/>
      <c r="F37" s="177"/>
      <c r="G37" s="177"/>
      <c r="H37" s="177"/>
      <c r="I37" s="177"/>
      <c r="J37" s="177"/>
      <c r="K37" s="177"/>
      <c r="L37" s="177"/>
      <c r="M37" s="372" t="s">
        <v>187</v>
      </c>
      <c r="N37" s="372"/>
      <c r="O37" s="372"/>
      <c r="P37" s="372"/>
      <c r="Q37" s="372"/>
      <c r="R37" s="372"/>
      <c r="S37" s="372"/>
      <c r="T37" s="372"/>
    </row>
    <row r="38" spans="2:20" s="176" customFormat="1" x14ac:dyDescent="0.3">
      <c r="B38" s="350" t="s">
        <v>243</v>
      </c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</row>
    <row r="39" spans="2:20" s="176" customFormat="1" x14ac:dyDescent="0.3">
      <c r="B39" s="350" t="s">
        <v>189</v>
      </c>
      <c r="C39" s="350"/>
      <c r="D39" s="177"/>
      <c r="E39" s="177"/>
      <c r="F39" s="177"/>
      <c r="G39" s="372" t="s">
        <v>244</v>
      </c>
      <c r="H39" s="372"/>
      <c r="I39" s="372"/>
      <c r="J39" s="177"/>
      <c r="K39" s="177"/>
      <c r="L39" s="350" t="s">
        <v>191</v>
      </c>
      <c r="M39" s="350"/>
      <c r="N39" s="372" t="s">
        <v>192</v>
      </c>
      <c r="O39" s="372"/>
      <c r="P39" s="372"/>
      <c r="Q39" s="372"/>
      <c r="R39" s="177"/>
      <c r="S39" s="177"/>
      <c r="T39" s="177"/>
    </row>
    <row r="40" spans="2:20" s="176" customFormat="1" x14ac:dyDescent="0.3">
      <c r="B40" s="177"/>
      <c r="C40" s="177"/>
      <c r="D40" s="177"/>
      <c r="E40" s="350" t="s">
        <v>194</v>
      </c>
      <c r="F40" s="350"/>
      <c r="G40" s="177">
        <v>1</v>
      </c>
      <c r="H40" s="177"/>
      <c r="I40" s="177"/>
      <c r="J40" s="177"/>
      <c r="K40" s="177"/>
      <c r="L40" s="350" t="s">
        <v>195</v>
      </c>
      <c r="M40" s="350"/>
      <c r="N40" s="372" t="s">
        <v>196</v>
      </c>
      <c r="O40" s="372"/>
      <c r="P40" s="372"/>
      <c r="Q40" s="372"/>
      <c r="R40" s="372"/>
      <c r="S40" s="372"/>
      <c r="T40" s="372"/>
    </row>
    <row r="41" spans="2:20" s="182" customFormat="1" x14ac:dyDescent="0.3">
      <c r="B41" s="174" t="s">
        <v>0</v>
      </c>
      <c r="C41" s="361" t="s">
        <v>198</v>
      </c>
      <c r="D41" s="361"/>
      <c r="E41" s="361" t="s">
        <v>199</v>
      </c>
      <c r="F41" s="361" t="s">
        <v>200</v>
      </c>
      <c r="G41" s="361"/>
      <c r="H41" s="361"/>
      <c r="I41" s="174" t="s">
        <v>201</v>
      </c>
      <c r="J41" s="361" t="s">
        <v>202</v>
      </c>
      <c r="K41" s="361"/>
      <c r="L41" s="361"/>
      <c r="M41" s="361"/>
      <c r="N41" s="361"/>
      <c r="O41" s="361" t="s">
        <v>203</v>
      </c>
      <c r="P41" s="361"/>
      <c r="Q41" s="361"/>
      <c r="R41" s="361"/>
      <c r="S41" s="361"/>
      <c r="T41" s="361"/>
    </row>
    <row r="42" spans="2:20" s="182" customFormat="1" ht="52.8" x14ac:dyDescent="0.3">
      <c r="B42" s="174" t="s">
        <v>245</v>
      </c>
      <c r="C42" s="361"/>
      <c r="D42" s="361"/>
      <c r="E42" s="361"/>
      <c r="F42" s="174" t="s">
        <v>204</v>
      </c>
      <c r="G42" s="174" t="s">
        <v>205</v>
      </c>
      <c r="H42" s="174" t="s">
        <v>206</v>
      </c>
      <c r="I42" s="174" t="s">
        <v>207</v>
      </c>
      <c r="J42" s="174" t="s">
        <v>208</v>
      </c>
      <c r="K42" s="174" t="s">
        <v>209</v>
      </c>
      <c r="L42" s="174" t="s">
        <v>210</v>
      </c>
      <c r="M42" s="174" t="s">
        <v>211</v>
      </c>
      <c r="N42" s="174" t="s">
        <v>212</v>
      </c>
      <c r="O42" s="174" t="s">
        <v>213</v>
      </c>
      <c r="P42" s="174" t="s">
        <v>214</v>
      </c>
      <c r="Q42" s="174" t="s">
        <v>215</v>
      </c>
      <c r="R42" s="174" t="s">
        <v>216</v>
      </c>
      <c r="S42" s="174" t="s">
        <v>217</v>
      </c>
      <c r="T42" s="174" t="s">
        <v>218</v>
      </c>
    </row>
    <row r="43" spans="2:20" s="176" customFormat="1" x14ac:dyDescent="0.3">
      <c r="B43" s="183">
        <v>1</v>
      </c>
      <c r="C43" s="373">
        <v>2</v>
      </c>
      <c r="D43" s="373"/>
      <c r="E43" s="183">
        <v>3</v>
      </c>
      <c r="F43" s="183">
        <v>4</v>
      </c>
      <c r="G43" s="183">
        <v>5</v>
      </c>
      <c r="H43" s="183">
        <v>6</v>
      </c>
      <c r="I43" s="183">
        <v>7</v>
      </c>
      <c r="J43" s="183">
        <v>8</v>
      </c>
      <c r="K43" s="183">
        <v>9</v>
      </c>
      <c r="L43" s="183">
        <v>10</v>
      </c>
      <c r="M43" s="183">
        <v>11</v>
      </c>
      <c r="N43" s="183">
        <v>12</v>
      </c>
      <c r="O43" s="183">
        <v>13</v>
      </c>
      <c r="P43" s="183">
        <v>14</v>
      </c>
      <c r="Q43" s="183">
        <v>15</v>
      </c>
      <c r="R43" s="183">
        <v>16</v>
      </c>
      <c r="S43" s="183">
        <v>17</v>
      </c>
      <c r="T43" s="183">
        <v>18</v>
      </c>
    </row>
    <row r="44" spans="2:20" s="176" customFormat="1" x14ac:dyDescent="0.3">
      <c r="B44" s="350" t="s">
        <v>246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</row>
    <row r="45" spans="2:20" s="392" customFormat="1" ht="25.5" customHeight="1" x14ac:dyDescent="0.3">
      <c r="B45" s="389" t="s">
        <v>340</v>
      </c>
      <c r="C45" s="390" t="s">
        <v>339</v>
      </c>
      <c r="D45" s="390"/>
      <c r="E45" s="391">
        <v>40</v>
      </c>
      <c r="F45" s="391">
        <v>1.1200000000000001</v>
      </c>
      <c r="G45" s="391">
        <v>0</v>
      </c>
      <c r="H45" s="391">
        <v>0.52</v>
      </c>
      <c r="I45" s="389">
        <v>6.44</v>
      </c>
      <c r="J45" s="391">
        <v>0</v>
      </c>
      <c r="K45" s="391">
        <v>0</v>
      </c>
      <c r="L45" s="391">
        <v>0</v>
      </c>
      <c r="M45" s="391">
        <v>0</v>
      </c>
      <c r="N45" s="391">
        <v>0</v>
      </c>
      <c r="O45" s="391">
        <v>0</v>
      </c>
      <c r="P45" s="391">
        <v>0</v>
      </c>
      <c r="Q45" s="391">
        <v>0</v>
      </c>
      <c r="R45" s="391">
        <v>0</v>
      </c>
      <c r="S45" s="391">
        <v>0</v>
      </c>
      <c r="T45" s="391">
        <v>0</v>
      </c>
    </row>
    <row r="46" spans="2:20" s="176" customFormat="1" ht="29.25" customHeight="1" x14ac:dyDescent="0.3">
      <c r="B46" s="184">
        <v>71</v>
      </c>
      <c r="C46" s="352" t="s">
        <v>338</v>
      </c>
      <c r="D46" s="352"/>
      <c r="E46" s="184">
        <v>40</v>
      </c>
      <c r="F46" s="184">
        <v>0.33</v>
      </c>
      <c r="G46" s="184">
        <v>0.04</v>
      </c>
      <c r="H46" s="184">
        <v>1.1299999999999999</v>
      </c>
      <c r="I46" s="184">
        <v>6.23</v>
      </c>
      <c r="J46" s="184">
        <v>8.9999999999999993E-3</v>
      </c>
      <c r="K46" s="184">
        <v>0.01</v>
      </c>
      <c r="L46" s="184">
        <v>3</v>
      </c>
      <c r="M46" s="184">
        <v>3.0000000000000001E-3</v>
      </c>
      <c r="N46" s="184">
        <v>0.03</v>
      </c>
      <c r="O46" s="184">
        <v>6.9</v>
      </c>
      <c r="P46" s="184">
        <v>12.6</v>
      </c>
      <c r="Q46" s="184">
        <v>6.4000000000000001E-2</v>
      </c>
      <c r="R46" s="184">
        <v>1E-3</v>
      </c>
      <c r="S46" s="184">
        <v>4.2</v>
      </c>
      <c r="T46" s="184">
        <v>0.18</v>
      </c>
    </row>
    <row r="47" spans="2:20" s="176" customFormat="1" ht="26.25" customHeight="1" x14ac:dyDescent="0.3">
      <c r="B47" s="184" t="s">
        <v>248</v>
      </c>
      <c r="C47" s="352" t="s">
        <v>114</v>
      </c>
      <c r="D47" s="352"/>
      <c r="E47" s="184">
        <v>90</v>
      </c>
      <c r="F47" s="184">
        <v>10.26</v>
      </c>
      <c r="G47" s="184">
        <v>10.08</v>
      </c>
      <c r="H47" s="184">
        <v>12.15</v>
      </c>
      <c r="I47" s="184">
        <v>181.8</v>
      </c>
      <c r="J47" s="184">
        <v>7.0000000000000007E-2</v>
      </c>
      <c r="K47" s="184">
        <v>0.12</v>
      </c>
      <c r="L47" s="184">
        <v>0.9</v>
      </c>
      <c r="M47" s="184">
        <v>7.0000000000000007E-2</v>
      </c>
      <c r="N47" s="184"/>
      <c r="O47" s="184">
        <v>28.8</v>
      </c>
      <c r="P47" s="184">
        <v>0</v>
      </c>
      <c r="Q47" s="184">
        <v>2.5649999999999999</v>
      </c>
      <c r="R47" s="184"/>
      <c r="S47" s="184">
        <v>23.49</v>
      </c>
      <c r="T47" s="184">
        <v>0</v>
      </c>
    </row>
    <row r="48" spans="2:20" s="176" customFormat="1" ht="16.5" customHeight="1" x14ac:dyDescent="0.3">
      <c r="B48" s="177">
        <v>304</v>
      </c>
      <c r="C48" s="352" t="s">
        <v>249</v>
      </c>
      <c r="D48" s="352"/>
      <c r="E48" s="177">
        <v>150</v>
      </c>
      <c r="F48" s="177">
        <v>3.7</v>
      </c>
      <c r="G48" s="177">
        <v>5.37</v>
      </c>
      <c r="H48" s="177">
        <v>36.68</v>
      </c>
      <c r="I48" s="177">
        <v>209.85</v>
      </c>
      <c r="J48" s="177">
        <v>0.03</v>
      </c>
      <c r="K48" s="177">
        <v>0.02</v>
      </c>
      <c r="L48" s="177">
        <v>0</v>
      </c>
      <c r="M48" s="177">
        <v>0.04</v>
      </c>
      <c r="N48" s="177">
        <v>0</v>
      </c>
      <c r="O48" s="177">
        <v>14.9</v>
      </c>
      <c r="P48" s="177">
        <v>79.400000000000006</v>
      </c>
      <c r="Q48" s="177">
        <v>0</v>
      </c>
      <c r="R48" s="177">
        <v>1E-3</v>
      </c>
      <c r="S48" s="177">
        <v>27.9</v>
      </c>
      <c r="T48" s="177">
        <v>0.59</v>
      </c>
    </row>
    <row r="49" spans="2:20" s="176" customFormat="1" ht="18" customHeight="1" x14ac:dyDescent="0.3">
      <c r="B49" s="177">
        <v>379</v>
      </c>
      <c r="C49" s="352" t="s">
        <v>250</v>
      </c>
      <c r="D49" s="352"/>
      <c r="E49" s="177">
        <v>200</v>
      </c>
      <c r="F49" s="177">
        <v>3.17</v>
      </c>
      <c r="G49" s="177">
        <v>2.68</v>
      </c>
      <c r="H49" s="177">
        <v>15.95</v>
      </c>
      <c r="I49" s="177">
        <v>100.6</v>
      </c>
      <c r="J49" s="177">
        <v>0.04</v>
      </c>
      <c r="K49" s="177">
        <v>0.15</v>
      </c>
      <c r="L49" s="177">
        <v>1.3</v>
      </c>
      <c r="M49" s="177">
        <v>0.03</v>
      </c>
      <c r="N49" s="177">
        <v>0.06</v>
      </c>
      <c r="O49" s="177">
        <v>120.4</v>
      </c>
      <c r="P49" s="177">
        <v>90</v>
      </c>
      <c r="Q49" s="177">
        <v>1.1000000000000001</v>
      </c>
      <c r="R49" s="177">
        <v>0.01</v>
      </c>
      <c r="S49" s="177">
        <v>14</v>
      </c>
      <c r="T49" s="177">
        <v>0.12</v>
      </c>
    </row>
    <row r="50" spans="2:20" s="176" customFormat="1" x14ac:dyDescent="0.3">
      <c r="B50" s="177" t="s">
        <v>224</v>
      </c>
      <c r="C50" s="352" t="s">
        <v>161</v>
      </c>
      <c r="D50" s="352"/>
      <c r="E50" s="177">
        <v>40</v>
      </c>
      <c r="F50" s="177">
        <v>3.04</v>
      </c>
      <c r="G50" s="177">
        <v>0.32</v>
      </c>
      <c r="H50" s="177">
        <v>19.68</v>
      </c>
      <c r="I50" s="177">
        <v>93.8</v>
      </c>
      <c r="J50" s="177">
        <v>0.04</v>
      </c>
      <c r="K50" s="177">
        <v>0.01</v>
      </c>
      <c r="L50" s="177">
        <v>0.88</v>
      </c>
      <c r="M50" s="177">
        <v>0</v>
      </c>
      <c r="N50" s="177">
        <v>0.7</v>
      </c>
      <c r="O50" s="177">
        <v>8</v>
      </c>
      <c r="P50" s="177">
        <v>26</v>
      </c>
      <c r="Q50" s="177">
        <v>8.0000000000000002E-3</v>
      </c>
      <c r="R50" s="177">
        <v>3.0000000000000001E-3</v>
      </c>
      <c r="S50" s="177">
        <v>0</v>
      </c>
      <c r="T50" s="177">
        <v>0.44</v>
      </c>
    </row>
    <row r="51" spans="2:20" s="176" customFormat="1" x14ac:dyDescent="0.3">
      <c r="B51" s="185" t="s">
        <v>251</v>
      </c>
      <c r="C51" s="186"/>
      <c r="D51" s="178"/>
      <c r="E51" s="178">
        <f>SUM(E46:E50)</f>
        <v>520</v>
      </c>
      <c r="F51" s="178">
        <f t="shared" ref="F51:T51" si="8">SUM(F46:F50)</f>
        <v>20.5</v>
      </c>
      <c r="G51" s="178">
        <f t="shared" si="8"/>
        <v>18.489999999999998</v>
      </c>
      <c r="H51" s="178">
        <f t="shared" si="8"/>
        <v>85.59</v>
      </c>
      <c r="I51" s="178">
        <f t="shared" si="8"/>
        <v>592.28</v>
      </c>
      <c r="J51" s="178">
        <f t="shared" si="8"/>
        <v>0.189</v>
      </c>
      <c r="K51" s="178">
        <f t="shared" si="8"/>
        <v>0.31</v>
      </c>
      <c r="L51" s="178">
        <f t="shared" si="8"/>
        <v>6.08</v>
      </c>
      <c r="M51" s="178">
        <f t="shared" si="8"/>
        <v>0.14300000000000002</v>
      </c>
      <c r="N51" s="178">
        <f t="shared" si="8"/>
        <v>0.78999999999999992</v>
      </c>
      <c r="O51" s="178">
        <f t="shared" si="8"/>
        <v>179</v>
      </c>
      <c r="P51" s="178">
        <f t="shared" si="8"/>
        <v>208</v>
      </c>
      <c r="Q51" s="178">
        <f t="shared" si="8"/>
        <v>3.7370000000000001</v>
      </c>
      <c r="R51" s="178">
        <f t="shared" si="8"/>
        <v>1.4999999999999999E-2</v>
      </c>
      <c r="S51" s="178">
        <f t="shared" si="8"/>
        <v>69.59</v>
      </c>
      <c r="T51" s="178">
        <f t="shared" si="8"/>
        <v>1.33</v>
      </c>
    </row>
    <row r="52" spans="2:20" s="176" customFormat="1" x14ac:dyDescent="0.3">
      <c r="B52" s="350" t="s">
        <v>226</v>
      </c>
      <c r="C52" s="350"/>
      <c r="D52" s="350"/>
      <c r="E52" s="350"/>
      <c r="F52" s="179">
        <f>F51/F69</f>
        <v>0.26623376623376621</v>
      </c>
      <c r="G52" s="179">
        <v>0.40100000000000002</v>
      </c>
      <c r="H52" s="179">
        <v>0.23200000000000001</v>
      </c>
      <c r="I52" s="179">
        <v>0.29899999999999999</v>
      </c>
      <c r="J52" s="179">
        <v>0.26800000000000002</v>
      </c>
      <c r="K52" s="179">
        <v>0.23200000000000001</v>
      </c>
      <c r="L52" s="179">
        <v>9.4E-2</v>
      </c>
      <c r="M52" s="179">
        <v>0.16900000000000001</v>
      </c>
      <c r="N52" s="179">
        <v>0.08</v>
      </c>
      <c r="O52" s="179">
        <v>0.186</v>
      </c>
      <c r="P52" s="179">
        <v>0.371</v>
      </c>
      <c r="Q52" s="179">
        <v>0.374</v>
      </c>
      <c r="R52" s="179">
        <v>0.6</v>
      </c>
      <c r="S52" s="179">
        <v>0.29399999999999998</v>
      </c>
      <c r="T52" s="179">
        <v>0.29199999999999998</v>
      </c>
    </row>
    <row r="53" spans="2:20" s="176" customFormat="1" x14ac:dyDescent="0.3">
      <c r="B53" s="350" t="s">
        <v>227</v>
      </c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</row>
    <row r="54" spans="2:20" s="176" customFormat="1" ht="26.25" customHeight="1" x14ac:dyDescent="0.3">
      <c r="B54" s="177">
        <v>52</v>
      </c>
      <c r="C54" s="352" t="s">
        <v>252</v>
      </c>
      <c r="D54" s="352"/>
      <c r="E54" s="177">
        <v>60</v>
      </c>
      <c r="F54" s="177">
        <v>0.86</v>
      </c>
      <c r="G54" s="177">
        <v>3.05</v>
      </c>
      <c r="H54" s="177">
        <v>5.13</v>
      </c>
      <c r="I54" s="177">
        <v>51.41</v>
      </c>
      <c r="J54" s="177">
        <v>0.01</v>
      </c>
      <c r="K54" s="177">
        <v>0.02</v>
      </c>
      <c r="L54" s="177">
        <v>5.7</v>
      </c>
      <c r="M54" s="177">
        <v>0.01</v>
      </c>
      <c r="N54" s="177">
        <v>0.1</v>
      </c>
      <c r="O54" s="177">
        <v>26.61</v>
      </c>
      <c r="P54" s="177">
        <v>25.64</v>
      </c>
      <c r="Q54" s="177">
        <v>0.43</v>
      </c>
      <c r="R54" s="177">
        <v>0.01</v>
      </c>
      <c r="S54" s="177">
        <v>12.9</v>
      </c>
      <c r="T54" s="177">
        <v>0.84</v>
      </c>
    </row>
    <row r="55" spans="2:20" s="176" customFormat="1" ht="30" customHeight="1" x14ac:dyDescent="0.3">
      <c r="B55" s="177">
        <v>101</v>
      </c>
      <c r="C55" s="352" t="s">
        <v>253</v>
      </c>
      <c r="D55" s="352"/>
      <c r="E55" s="177">
        <v>200</v>
      </c>
      <c r="F55" s="177">
        <v>2.36</v>
      </c>
      <c r="G55" s="177">
        <v>2.6</v>
      </c>
      <c r="H55" s="177">
        <v>14.8</v>
      </c>
      <c r="I55" s="177">
        <v>92.16</v>
      </c>
      <c r="J55" s="177">
        <v>0.1</v>
      </c>
      <c r="K55" s="177">
        <v>0.06</v>
      </c>
      <c r="L55" s="177">
        <v>5.28</v>
      </c>
      <c r="M55" s="177">
        <v>0.16</v>
      </c>
      <c r="N55" s="177">
        <v>1.52</v>
      </c>
      <c r="O55" s="177">
        <v>22.4</v>
      </c>
      <c r="P55" s="177">
        <v>61.78</v>
      </c>
      <c r="Q55" s="177"/>
      <c r="R55" s="177">
        <v>3.9199999999999999E-3</v>
      </c>
      <c r="S55" s="177">
        <v>32.08</v>
      </c>
      <c r="T55" s="177">
        <v>1.24</v>
      </c>
    </row>
    <row r="56" spans="2:20" s="176" customFormat="1" ht="15.75" customHeight="1" x14ac:dyDescent="0.3">
      <c r="B56" s="187" t="s">
        <v>254</v>
      </c>
      <c r="C56" s="352" t="s">
        <v>255</v>
      </c>
      <c r="D56" s="352"/>
      <c r="E56" s="177">
        <v>90</v>
      </c>
      <c r="F56" s="177">
        <v>8.6999999999999993</v>
      </c>
      <c r="G56" s="177">
        <v>4.7300000000000004</v>
      </c>
      <c r="H56" s="177">
        <v>3.67</v>
      </c>
      <c r="I56" s="177">
        <v>91.5</v>
      </c>
      <c r="J56" s="177"/>
      <c r="K56" s="177"/>
      <c r="L56" s="177">
        <v>2.0499999999999998</v>
      </c>
      <c r="M56" s="177"/>
      <c r="N56" s="177"/>
      <c r="O56" s="177">
        <v>35.869999999999997</v>
      </c>
      <c r="P56" s="177"/>
      <c r="Q56" s="177"/>
      <c r="R56" s="177"/>
      <c r="S56" s="177">
        <v>0</v>
      </c>
      <c r="T56" s="177">
        <v>0.7</v>
      </c>
    </row>
    <row r="57" spans="2:20" s="176" customFormat="1" ht="25.5" customHeight="1" x14ac:dyDescent="0.3">
      <c r="B57" s="177">
        <v>312</v>
      </c>
      <c r="C57" s="352" t="s">
        <v>256</v>
      </c>
      <c r="D57" s="352"/>
      <c r="E57" s="177">
        <v>150</v>
      </c>
      <c r="F57" s="177">
        <v>3.29</v>
      </c>
      <c r="G57" s="177">
        <v>7.06</v>
      </c>
      <c r="H57" s="177">
        <v>22.21</v>
      </c>
      <c r="I57" s="177">
        <v>165.54</v>
      </c>
      <c r="J57" s="177">
        <v>0.16</v>
      </c>
      <c r="K57" s="177">
        <v>0.13</v>
      </c>
      <c r="L57" s="177">
        <v>26.11</v>
      </c>
      <c r="M57" s="177">
        <v>0.08</v>
      </c>
      <c r="N57" s="177">
        <v>1.5</v>
      </c>
      <c r="O57" s="177">
        <v>42.54</v>
      </c>
      <c r="P57" s="177">
        <v>97.8</v>
      </c>
      <c r="Q57" s="177">
        <v>0.29899999999999999</v>
      </c>
      <c r="R57" s="177">
        <v>1E-3</v>
      </c>
      <c r="S57" s="177">
        <v>33.06</v>
      </c>
      <c r="T57" s="177">
        <v>1.19</v>
      </c>
    </row>
    <row r="58" spans="2:20" s="176" customFormat="1" ht="25.5" customHeight="1" x14ac:dyDescent="0.3">
      <c r="B58" s="177">
        <v>349</v>
      </c>
      <c r="C58" s="352" t="s">
        <v>239</v>
      </c>
      <c r="D58" s="352"/>
      <c r="E58" s="177">
        <v>200</v>
      </c>
      <c r="F58" s="177">
        <v>0.22</v>
      </c>
      <c r="G58" s="177"/>
      <c r="H58" s="177">
        <v>24.42</v>
      </c>
      <c r="I58" s="177">
        <v>98.56</v>
      </c>
      <c r="J58" s="177"/>
      <c r="K58" s="177"/>
      <c r="L58" s="177">
        <v>0.2</v>
      </c>
      <c r="M58" s="177"/>
      <c r="N58" s="177"/>
      <c r="O58" s="177">
        <v>22.6</v>
      </c>
      <c r="P58" s="177">
        <v>7.7</v>
      </c>
      <c r="Q58" s="177">
        <v>0</v>
      </c>
      <c r="R58" s="177">
        <v>0</v>
      </c>
      <c r="S58" s="177">
        <v>3</v>
      </c>
      <c r="T58" s="177">
        <v>0.66</v>
      </c>
    </row>
    <row r="59" spans="2:20" s="176" customFormat="1" ht="18" customHeight="1" x14ac:dyDescent="0.3">
      <c r="B59" s="177" t="s">
        <v>224</v>
      </c>
      <c r="C59" s="352" t="s">
        <v>235</v>
      </c>
      <c r="D59" s="352"/>
      <c r="E59" s="177">
        <v>40</v>
      </c>
      <c r="F59" s="177">
        <v>2.64</v>
      </c>
      <c r="G59" s="177">
        <v>0.48</v>
      </c>
      <c r="H59" s="177">
        <v>13.68</v>
      </c>
      <c r="I59" s="177">
        <v>69.599999999999994</v>
      </c>
      <c r="J59" s="177">
        <v>0.08</v>
      </c>
      <c r="K59" s="177">
        <v>0.04</v>
      </c>
      <c r="L59" s="177">
        <v>0</v>
      </c>
      <c r="M59" s="177">
        <v>0</v>
      </c>
      <c r="N59" s="177">
        <v>2.4</v>
      </c>
      <c r="O59" s="177">
        <v>14</v>
      </c>
      <c r="P59" s="177">
        <v>63.2</v>
      </c>
      <c r="Q59" s="177">
        <v>1.2</v>
      </c>
      <c r="R59" s="177">
        <v>1E-3</v>
      </c>
      <c r="S59" s="177">
        <v>9.4</v>
      </c>
      <c r="T59" s="177">
        <v>0.78</v>
      </c>
    </row>
    <row r="60" spans="2:20" s="176" customFormat="1" x14ac:dyDescent="0.3">
      <c r="B60" s="177" t="s">
        <v>224</v>
      </c>
      <c r="C60" s="352" t="s">
        <v>117</v>
      </c>
      <c r="D60" s="352"/>
      <c r="E60" s="177">
        <v>30</v>
      </c>
      <c r="F60" s="177">
        <v>1.52</v>
      </c>
      <c r="G60" s="177">
        <v>0.16</v>
      </c>
      <c r="H60" s="177">
        <v>9.84</v>
      </c>
      <c r="I60" s="177">
        <v>46.9</v>
      </c>
      <c r="J60" s="177">
        <v>0.02</v>
      </c>
      <c r="K60" s="177">
        <v>0.01</v>
      </c>
      <c r="L60" s="177">
        <v>0.44</v>
      </c>
      <c r="M60" s="177">
        <v>0</v>
      </c>
      <c r="N60" s="177">
        <v>0.7</v>
      </c>
      <c r="O60" s="177">
        <v>4</v>
      </c>
      <c r="P60" s="177">
        <v>13</v>
      </c>
      <c r="Q60" s="177">
        <v>8.0000000000000002E-3</v>
      </c>
      <c r="R60" s="177">
        <v>1E-3</v>
      </c>
      <c r="S60" s="177">
        <v>0</v>
      </c>
      <c r="T60" s="177">
        <v>0.22</v>
      </c>
    </row>
    <row r="61" spans="2:20" s="176" customFormat="1" ht="27" customHeight="1" x14ac:dyDescent="0.3">
      <c r="B61" s="350" t="s">
        <v>236</v>
      </c>
      <c r="C61" s="350"/>
      <c r="D61" s="350"/>
      <c r="E61" s="178">
        <f>SUM(E54:E60)</f>
        <v>770</v>
      </c>
      <c r="F61" s="178">
        <f t="shared" ref="F61:T61" si="9">SUM(F54:F60)</f>
        <v>19.589999999999996</v>
      </c>
      <c r="G61" s="178">
        <f t="shared" si="9"/>
        <v>18.080000000000002</v>
      </c>
      <c r="H61" s="178">
        <f t="shared" si="9"/>
        <v>93.75</v>
      </c>
      <c r="I61" s="178">
        <f t="shared" si="9"/>
        <v>615.66999999999996</v>
      </c>
      <c r="J61" s="178">
        <f t="shared" si="9"/>
        <v>0.37000000000000005</v>
      </c>
      <c r="K61" s="178">
        <f t="shared" si="9"/>
        <v>0.26</v>
      </c>
      <c r="L61" s="178">
        <f t="shared" si="9"/>
        <v>39.78</v>
      </c>
      <c r="M61" s="178">
        <f t="shared" si="9"/>
        <v>0.25</v>
      </c>
      <c r="N61" s="178">
        <f t="shared" si="9"/>
        <v>6.22</v>
      </c>
      <c r="O61" s="178">
        <f t="shared" si="9"/>
        <v>168.01999999999998</v>
      </c>
      <c r="P61" s="178">
        <f t="shared" si="9"/>
        <v>269.12</v>
      </c>
      <c r="Q61" s="178">
        <f t="shared" si="9"/>
        <v>1.9369999999999998</v>
      </c>
      <c r="R61" s="178">
        <f t="shared" si="9"/>
        <v>1.6920000000000001E-2</v>
      </c>
      <c r="S61" s="178">
        <f t="shared" si="9"/>
        <v>90.44</v>
      </c>
      <c r="T61" s="178">
        <f t="shared" si="9"/>
        <v>5.63</v>
      </c>
    </row>
    <row r="62" spans="2:20" s="176" customFormat="1" x14ac:dyDescent="0.3">
      <c r="B62" s="350" t="s">
        <v>226</v>
      </c>
      <c r="C62" s="350"/>
      <c r="D62" s="350"/>
      <c r="E62" s="350"/>
      <c r="F62" s="179">
        <f t="shared" ref="F62:T62" si="10">F61/F69</f>
        <v>0.25441558441558437</v>
      </c>
      <c r="G62" s="179">
        <f t="shared" si="10"/>
        <v>0.22886075949367091</v>
      </c>
      <c r="H62" s="179">
        <f t="shared" si="10"/>
        <v>0.27985074626865669</v>
      </c>
      <c r="I62" s="179">
        <f t="shared" si="10"/>
        <v>0.2619872340425532</v>
      </c>
      <c r="J62" s="179">
        <f t="shared" si="10"/>
        <v>0.3083333333333334</v>
      </c>
      <c r="K62" s="179">
        <f t="shared" si="10"/>
        <v>0.18571428571428572</v>
      </c>
      <c r="L62" s="179">
        <f t="shared" si="10"/>
        <v>0.66300000000000003</v>
      </c>
      <c r="M62" s="179">
        <f t="shared" si="10"/>
        <v>0.35714285714285715</v>
      </c>
      <c r="N62" s="179">
        <f t="shared" si="10"/>
        <v>0.622</v>
      </c>
      <c r="O62" s="179">
        <f t="shared" si="10"/>
        <v>0.15274545454545452</v>
      </c>
      <c r="P62" s="179">
        <f t="shared" si="10"/>
        <v>0.24465454545454546</v>
      </c>
      <c r="Q62" s="179">
        <f t="shared" si="10"/>
        <v>0.19369999999999998</v>
      </c>
      <c r="R62" s="179">
        <f t="shared" si="10"/>
        <v>0.16919999999999999</v>
      </c>
      <c r="S62" s="179">
        <f t="shared" si="10"/>
        <v>0.36175999999999997</v>
      </c>
      <c r="T62" s="179">
        <f t="shared" si="10"/>
        <v>0.46916666666666668</v>
      </c>
    </row>
    <row r="63" spans="2:20" s="176" customFormat="1" x14ac:dyDescent="0.3">
      <c r="B63" s="355" t="s">
        <v>237</v>
      </c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</row>
    <row r="64" spans="2:20" s="176" customFormat="1" ht="17.25" customHeight="1" x14ac:dyDescent="0.3">
      <c r="B64" s="177" t="s">
        <v>224</v>
      </c>
      <c r="C64" s="352" t="s">
        <v>257</v>
      </c>
      <c r="D64" s="352"/>
      <c r="E64" s="177">
        <v>80</v>
      </c>
      <c r="F64" s="177">
        <v>5.95</v>
      </c>
      <c r="G64" s="177">
        <v>6.05</v>
      </c>
      <c r="H64" s="177">
        <v>38.22</v>
      </c>
      <c r="I64" s="177">
        <v>231.11</v>
      </c>
      <c r="J64" s="177">
        <v>0.06</v>
      </c>
      <c r="K64" s="177">
        <v>0.06</v>
      </c>
      <c r="L64" s="177">
        <v>0.02</v>
      </c>
      <c r="M64" s="177">
        <v>0.06</v>
      </c>
      <c r="N64" s="177"/>
      <c r="O64" s="177">
        <v>19.489999999999998</v>
      </c>
      <c r="P64" s="177">
        <v>55.89</v>
      </c>
      <c r="Q64" s="177"/>
      <c r="R64" s="177">
        <v>0</v>
      </c>
      <c r="S64" s="177">
        <v>8.27</v>
      </c>
      <c r="T64" s="177">
        <v>0.7</v>
      </c>
    </row>
    <row r="65" spans="2:20" s="176" customFormat="1" ht="18.75" customHeight="1" x14ac:dyDescent="0.3">
      <c r="B65" s="173">
        <v>386</v>
      </c>
      <c r="C65" s="359" t="s">
        <v>258</v>
      </c>
      <c r="D65" s="359"/>
      <c r="E65" s="173">
        <v>200</v>
      </c>
      <c r="F65" s="173">
        <v>5.8</v>
      </c>
      <c r="G65" s="173">
        <v>5</v>
      </c>
      <c r="H65" s="173">
        <v>8</v>
      </c>
      <c r="I65" s="173">
        <v>100.2</v>
      </c>
      <c r="J65" s="173">
        <v>0.04</v>
      </c>
      <c r="K65" s="173">
        <v>0.26</v>
      </c>
      <c r="L65" s="173">
        <v>0.6</v>
      </c>
      <c r="M65" s="173">
        <v>0.04</v>
      </c>
      <c r="N65" s="173">
        <v>1E-3</v>
      </c>
      <c r="O65" s="173">
        <v>240</v>
      </c>
      <c r="P65" s="173">
        <v>184</v>
      </c>
      <c r="Q65" s="173">
        <v>0.4</v>
      </c>
      <c r="R65" s="173">
        <v>1E-3</v>
      </c>
      <c r="S65" s="173">
        <v>28</v>
      </c>
      <c r="T65" s="173">
        <v>0.2</v>
      </c>
    </row>
    <row r="66" spans="2:20" s="176" customFormat="1" ht="17.25" customHeight="1" x14ac:dyDescent="0.3">
      <c r="B66" s="356" t="s">
        <v>240</v>
      </c>
      <c r="C66" s="357"/>
      <c r="D66" s="358"/>
      <c r="E66" s="178">
        <f>E65+E64</f>
        <v>280</v>
      </c>
      <c r="F66" s="178">
        <f t="shared" ref="F66:T66" si="11">F65+F64</f>
        <v>11.75</v>
      </c>
      <c r="G66" s="178">
        <f>G65+G64</f>
        <v>11.05</v>
      </c>
      <c r="H66" s="178">
        <f t="shared" si="11"/>
        <v>46.22</v>
      </c>
      <c r="I66" s="178">
        <f t="shared" si="11"/>
        <v>331.31</v>
      </c>
      <c r="J66" s="178">
        <f t="shared" si="11"/>
        <v>0.1</v>
      </c>
      <c r="K66" s="178">
        <f t="shared" si="11"/>
        <v>0.32</v>
      </c>
      <c r="L66" s="178">
        <f t="shared" si="11"/>
        <v>0.62</v>
      </c>
      <c r="M66" s="178">
        <f t="shared" si="11"/>
        <v>0.1</v>
      </c>
      <c r="N66" s="178">
        <f t="shared" si="11"/>
        <v>1E-3</v>
      </c>
      <c r="O66" s="178">
        <f t="shared" si="11"/>
        <v>259.49</v>
      </c>
      <c r="P66" s="178">
        <f t="shared" si="11"/>
        <v>239.89</v>
      </c>
      <c r="Q66" s="178">
        <f t="shared" si="11"/>
        <v>0.4</v>
      </c>
      <c r="R66" s="178">
        <f t="shared" si="11"/>
        <v>1E-3</v>
      </c>
      <c r="S66" s="178">
        <f t="shared" si="11"/>
        <v>36.269999999999996</v>
      </c>
      <c r="T66" s="178">
        <f t="shared" si="11"/>
        <v>0.89999999999999991</v>
      </c>
    </row>
    <row r="67" spans="2:20" s="176" customFormat="1" ht="15" customHeight="1" x14ac:dyDescent="0.3">
      <c r="B67" s="350" t="s">
        <v>226</v>
      </c>
      <c r="C67" s="350"/>
      <c r="D67" s="350"/>
      <c r="E67" s="350"/>
      <c r="F67" s="179">
        <f t="shared" ref="F67:T67" si="12">F66/F69</f>
        <v>0.15259740259740259</v>
      </c>
      <c r="G67" s="179">
        <f t="shared" si="12"/>
        <v>0.13987341772151898</v>
      </c>
      <c r="H67" s="179">
        <f t="shared" si="12"/>
        <v>0.13797014925373133</v>
      </c>
      <c r="I67" s="179">
        <f t="shared" si="12"/>
        <v>0.14098297872340426</v>
      </c>
      <c r="J67" s="179">
        <f t="shared" si="12"/>
        <v>8.3333333333333343E-2</v>
      </c>
      <c r="K67" s="179">
        <f t="shared" si="12"/>
        <v>0.22857142857142859</v>
      </c>
      <c r="L67" s="179">
        <f t="shared" si="12"/>
        <v>1.0333333333333333E-2</v>
      </c>
      <c r="M67" s="179">
        <f t="shared" si="12"/>
        <v>0.14285714285714288</v>
      </c>
      <c r="N67" s="179">
        <f t="shared" si="12"/>
        <v>1E-4</v>
      </c>
      <c r="O67" s="179">
        <f t="shared" si="12"/>
        <v>0.2359</v>
      </c>
      <c r="P67" s="179">
        <f t="shared" si="12"/>
        <v>0.21808181818181818</v>
      </c>
      <c r="Q67" s="179">
        <f t="shared" si="12"/>
        <v>0.04</v>
      </c>
      <c r="R67" s="179">
        <f t="shared" si="12"/>
        <v>0.01</v>
      </c>
      <c r="S67" s="179">
        <f t="shared" si="12"/>
        <v>0.14507999999999999</v>
      </c>
      <c r="T67" s="179">
        <f t="shared" si="12"/>
        <v>7.4999999999999997E-2</v>
      </c>
    </row>
    <row r="68" spans="2:20" s="176" customFormat="1" x14ac:dyDescent="0.3">
      <c r="B68" s="350" t="s">
        <v>241</v>
      </c>
      <c r="C68" s="350"/>
      <c r="D68" s="350"/>
      <c r="E68" s="350"/>
      <c r="F68" s="178">
        <f>F66+F61+F51</f>
        <v>51.839999999999996</v>
      </c>
      <c r="G68" s="178">
        <f t="shared" ref="G68:T68" si="13">G66+G61+G51</f>
        <v>47.620000000000005</v>
      </c>
      <c r="H68" s="178">
        <f t="shared" si="13"/>
        <v>225.56</v>
      </c>
      <c r="I68" s="178">
        <f t="shared" si="13"/>
        <v>1539.26</v>
      </c>
      <c r="J68" s="178">
        <f t="shared" si="13"/>
        <v>0.65900000000000003</v>
      </c>
      <c r="K68" s="178">
        <f t="shared" si="13"/>
        <v>0.89000000000000012</v>
      </c>
      <c r="L68" s="178">
        <f t="shared" si="13"/>
        <v>46.48</v>
      </c>
      <c r="M68" s="178">
        <f t="shared" si="13"/>
        <v>0.49299999999999999</v>
      </c>
      <c r="N68" s="178">
        <f t="shared" si="13"/>
        <v>7.0110000000000001</v>
      </c>
      <c r="O68" s="178">
        <f t="shared" si="13"/>
        <v>606.51</v>
      </c>
      <c r="P68" s="178">
        <f t="shared" si="13"/>
        <v>717.01</v>
      </c>
      <c r="Q68" s="178">
        <f t="shared" si="13"/>
        <v>6.0739999999999998</v>
      </c>
      <c r="R68" s="178">
        <f t="shared" si="13"/>
        <v>3.2920000000000005E-2</v>
      </c>
      <c r="S68" s="178">
        <f t="shared" si="13"/>
        <v>196.3</v>
      </c>
      <c r="T68" s="178">
        <f t="shared" si="13"/>
        <v>7.8599999999999994</v>
      </c>
    </row>
    <row r="69" spans="2:20" s="176" customFormat="1" x14ac:dyDescent="0.3">
      <c r="B69" s="350" t="s">
        <v>242</v>
      </c>
      <c r="C69" s="350"/>
      <c r="D69" s="350"/>
      <c r="E69" s="350"/>
      <c r="F69" s="177">
        <v>77</v>
      </c>
      <c r="G69" s="177">
        <v>79</v>
      </c>
      <c r="H69" s="177">
        <v>335</v>
      </c>
      <c r="I69" s="177">
        <v>2350</v>
      </c>
      <c r="J69" s="177">
        <v>1.2</v>
      </c>
      <c r="K69" s="177">
        <v>1.4</v>
      </c>
      <c r="L69" s="177">
        <v>60</v>
      </c>
      <c r="M69" s="177">
        <v>0.7</v>
      </c>
      <c r="N69" s="177">
        <v>10</v>
      </c>
      <c r="O69" s="177">
        <v>1100</v>
      </c>
      <c r="P69" s="177">
        <v>1100</v>
      </c>
      <c r="Q69" s="177">
        <v>10</v>
      </c>
      <c r="R69" s="177">
        <v>0.1</v>
      </c>
      <c r="S69" s="177">
        <v>250</v>
      </c>
      <c r="T69" s="177">
        <v>12</v>
      </c>
    </row>
    <row r="70" spans="2:20" s="176" customFormat="1" x14ac:dyDescent="0.3">
      <c r="B70" s="350" t="s">
        <v>226</v>
      </c>
      <c r="C70" s="350"/>
      <c r="D70" s="350"/>
      <c r="E70" s="350"/>
      <c r="F70" s="179">
        <f>F68/F69</f>
        <v>0.6732467532467532</v>
      </c>
      <c r="G70" s="179">
        <f t="shared" ref="G70:T70" si="14">G68/G69</f>
        <v>0.60278481012658236</v>
      </c>
      <c r="H70" s="179">
        <f t="shared" si="14"/>
        <v>0.6733134328358209</v>
      </c>
      <c r="I70" s="179">
        <f t="shared" si="14"/>
        <v>0.65500425531914896</v>
      </c>
      <c r="J70" s="179">
        <f t="shared" si="14"/>
        <v>0.54916666666666669</v>
      </c>
      <c r="K70" s="179">
        <f t="shared" si="14"/>
        <v>0.6357142857142859</v>
      </c>
      <c r="L70" s="179">
        <f t="shared" si="14"/>
        <v>0.77466666666666661</v>
      </c>
      <c r="M70" s="179">
        <f t="shared" si="14"/>
        <v>0.70428571428571429</v>
      </c>
      <c r="N70" s="179">
        <f t="shared" si="14"/>
        <v>0.70110000000000006</v>
      </c>
      <c r="O70" s="179">
        <f t="shared" si="14"/>
        <v>0.55137272727272724</v>
      </c>
      <c r="P70" s="179">
        <f t="shared" si="14"/>
        <v>0.6518272727272727</v>
      </c>
      <c r="Q70" s="179">
        <f t="shared" si="14"/>
        <v>0.60739999999999994</v>
      </c>
      <c r="R70" s="179">
        <f t="shared" si="14"/>
        <v>0.32920000000000005</v>
      </c>
      <c r="S70" s="179">
        <f t="shared" si="14"/>
        <v>0.78520000000000001</v>
      </c>
      <c r="T70" s="179">
        <f t="shared" si="14"/>
        <v>0.65499999999999992</v>
      </c>
    </row>
    <row r="71" spans="2:20" s="176" customFormat="1" ht="26.25" customHeight="1" x14ac:dyDescent="0.3">
      <c r="B71" s="372" t="s">
        <v>259</v>
      </c>
      <c r="C71" s="372"/>
      <c r="D71" s="372"/>
      <c r="E71" s="372"/>
      <c r="F71" s="372"/>
      <c r="G71" s="372"/>
      <c r="H71" s="372"/>
      <c r="I71" s="372"/>
      <c r="J71" s="177"/>
      <c r="K71" s="177"/>
      <c r="L71" s="177"/>
      <c r="M71" s="372" t="s">
        <v>187</v>
      </c>
      <c r="N71" s="372"/>
      <c r="O71" s="372"/>
      <c r="P71" s="372"/>
      <c r="Q71" s="372"/>
      <c r="R71" s="372"/>
      <c r="S71" s="372"/>
      <c r="T71" s="372"/>
    </row>
    <row r="72" spans="2:20" s="176" customFormat="1" x14ac:dyDescent="0.3">
      <c r="B72" s="177"/>
      <c r="C72" s="177"/>
      <c r="D72" s="178"/>
      <c r="E72" s="178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</row>
    <row r="73" spans="2:20" x14ac:dyDescent="0.3">
      <c r="B73" s="360" t="s">
        <v>260</v>
      </c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</row>
    <row r="74" spans="2:20" x14ac:dyDescent="0.3">
      <c r="B74" s="360" t="s">
        <v>261</v>
      </c>
      <c r="C74" s="360"/>
      <c r="D74" s="173"/>
      <c r="E74" s="173"/>
      <c r="F74" s="173"/>
      <c r="G74" s="363" t="s">
        <v>262</v>
      </c>
      <c r="H74" s="363"/>
      <c r="I74" s="363"/>
      <c r="J74" s="173"/>
      <c r="K74" s="173"/>
      <c r="L74" s="360" t="s">
        <v>191</v>
      </c>
      <c r="M74" s="360"/>
      <c r="N74" s="363" t="s">
        <v>192</v>
      </c>
      <c r="O74" s="363"/>
      <c r="P74" s="363"/>
      <c r="Q74" s="363"/>
      <c r="R74" s="173"/>
      <c r="S74" s="173"/>
      <c r="T74" s="173"/>
    </row>
    <row r="75" spans="2:20" x14ac:dyDescent="0.3">
      <c r="B75" s="173"/>
      <c r="C75" s="173"/>
      <c r="D75" s="173"/>
      <c r="E75" s="360" t="s">
        <v>194</v>
      </c>
      <c r="F75" s="360"/>
      <c r="G75" s="173">
        <v>1</v>
      </c>
      <c r="H75" s="173"/>
      <c r="I75" s="173"/>
      <c r="J75" s="173"/>
      <c r="K75" s="173"/>
      <c r="L75" s="360" t="s">
        <v>195</v>
      </c>
      <c r="M75" s="360"/>
      <c r="N75" s="363" t="s">
        <v>196</v>
      </c>
      <c r="O75" s="363"/>
      <c r="P75" s="363"/>
      <c r="Q75" s="363"/>
      <c r="R75" s="363"/>
      <c r="S75" s="363"/>
      <c r="T75" s="363"/>
    </row>
    <row r="76" spans="2:20" x14ac:dyDescent="0.3">
      <c r="B76" s="174" t="s">
        <v>0</v>
      </c>
      <c r="C76" s="361" t="s">
        <v>198</v>
      </c>
      <c r="D76" s="361"/>
      <c r="E76" s="361" t="s">
        <v>199</v>
      </c>
      <c r="F76" s="361" t="s">
        <v>200</v>
      </c>
      <c r="G76" s="361"/>
      <c r="H76" s="361"/>
      <c r="I76" s="174" t="s">
        <v>201</v>
      </c>
      <c r="J76" s="361" t="s">
        <v>202</v>
      </c>
      <c r="K76" s="361"/>
      <c r="L76" s="361"/>
      <c r="M76" s="361"/>
      <c r="N76" s="361"/>
      <c r="O76" s="361" t="s">
        <v>203</v>
      </c>
      <c r="P76" s="361"/>
      <c r="Q76" s="361"/>
      <c r="R76" s="361"/>
      <c r="S76" s="361"/>
      <c r="T76" s="361"/>
    </row>
    <row r="77" spans="2:20" ht="52.8" x14ac:dyDescent="0.3">
      <c r="B77" s="174" t="s">
        <v>245</v>
      </c>
      <c r="C77" s="361"/>
      <c r="D77" s="361"/>
      <c r="E77" s="361"/>
      <c r="F77" s="174" t="s">
        <v>204</v>
      </c>
      <c r="G77" s="174" t="s">
        <v>205</v>
      </c>
      <c r="H77" s="174" t="s">
        <v>206</v>
      </c>
      <c r="I77" s="174" t="s">
        <v>207</v>
      </c>
      <c r="J77" s="174" t="s">
        <v>208</v>
      </c>
      <c r="K77" s="174" t="s">
        <v>209</v>
      </c>
      <c r="L77" s="174" t="s">
        <v>210</v>
      </c>
      <c r="M77" s="174" t="s">
        <v>211</v>
      </c>
      <c r="N77" s="174" t="s">
        <v>212</v>
      </c>
      <c r="O77" s="174" t="s">
        <v>213</v>
      </c>
      <c r="P77" s="174" t="s">
        <v>214</v>
      </c>
      <c r="Q77" s="174" t="s">
        <v>215</v>
      </c>
      <c r="R77" s="174" t="s">
        <v>216</v>
      </c>
      <c r="S77" s="174" t="s">
        <v>217</v>
      </c>
      <c r="T77" s="174" t="s">
        <v>218</v>
      </c>
    </row>
    <row r="78" spans="2:20" x14ac:dyDescent="0.3">
      <c r="B78" s="175">
        <v>1</v>
      </c>
      <c r="C78" s="362">
        <v>2</v>
      </c>
      <c r="D78" s="362"/>
      <c r="E78" s="175">
        <v>3</v>
      </c>
      <c r="F78" s="175">
        <v>4</v>
      </c>
      <c r="G78" s="175">
        <v>5</v>
      </c>
      <c r="H78" s="175">
        <v>6</v>
      </c>
      <c r="I78" s="175">
        <v>7</v>
      </c>
      <c r="J78" s="175">
        <v>8</v>
      </c>
      <c r="K78" s="175">
        <v>9</v>
      </c>
      <c r="L78" s="175">
        <v>10</v>
      </c>
      <c r="M78" s="175">
        <v>11</v>
      </c>
      <c r="N78" s="175">
        <v>12</v>
      </c>
      <c r="O78" s="175">
        <v>13</v>
      </c>
      <c r="P78" s="175">
        <v>14</v>
      </c>
      <c r="Q78" s="175">
        <v>15</v>
      </c>
      <c r="R78" s="175">
        <v>16</v>
      </c>
      <c r="S78" s="175">
        <v>17</v>
      </c>
      <c r="T78" s="175">
        <v>18</v>
      </c>
    </row>
    <row r="79" spans="2:20" x14ac:dyDescent="0.3">
      <c r="B79" s="360" t="s">
        <v>219</v>
      </c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</row>
    <row r="80" spans="2:20" ht="18.75" customHeight="1" x14ac:dyDescent="0.3">
      <c r="B80" s="173">
        <v>59</v>
      </c>
      <c r="C80" s="359" t="s">
        <v>263</v>
      </c>
      <c r="D80" s="359"/>
      <c r="E80" s="173">
        <v>60</v>
      </c>
      <c r="F80" s="173">
        <v>0.64</v>
      </c>
      <c r="G80" s="173">
        <v>0.1</v>
      </c>
      <c r="H80" s="173">
        <v>5.1100000000000003</v>
      </c>
      <c r="I80" s="173">
        <v>23.9</v>
      </c>
      <c r="J80" s="173">
        <v>0.03</v>
      </c>
      <c r="K80" s="173">
        <v>0.02</v>
      </c>
      <c r="L80" s="173">
        <v>2.63</v>
      </c>
      <c r="M80" s="173">
        <v>0.02</v>
      </c>
      <c r="N80" s="173">
        <v>1.494</v>
      </c>
      <c r="O80" s="173">
        <v>14.4</v>
      </c>
      <c r="P80" s="173">
        <v>20.39</v>
      </c>
      <c r="Q80" s="173">
        <v>0.13</v>
      </c>
      <c r="R80" s="173">
        <v>1E-3</v>
      </c>
      <c r="S80" s="173">
        <v>6.6</v>
      </c>
      <c r="T80" s="173">
        <v>0.64</v>
      </c>
    </row>
    <row r="81" spans="2:20" ht="18.75" customHeight="1" x14ac:dyDescent="0.3">
      <c r="B81" s="173" t="s">
        <v>355</v>
      </c>
      <c r="C81" s="366" t="s">
        <v>356</v>
      </c>
      <c r="D81" s="366"/>
      <c r="E81" s="173">
        <v>100</v>
      </c>
      <c r="F81" s="173">
        <v>1.5</v>
      </c>
      <c r="G81" s="173">
        <v>0.5</v>
      </c>
      <c r="H81" s="173">
        <v>21</v>
      </c>
      <c r="I81" s="173">
        <v>96</v>
      </c>
      <c r="J81" s="173">
        <v>0.04</v>
      </c>
      <c r="K81" s="173"/>
      <c r="L81" s="173">
        <v>10</v>
      </c>
      <c r="M81" s="173"/>
      <c r="N81" s="173">
        <v>0.4</v>
      </c>
      <c r="O81" s="173">
        <v>8</v>
      </c>
      <c r="P81" s="173">
        <v>28</v>
      </c>
      <c r="Q81" s="173"/>
      <c r="R81" s="173"/>
      <c r="S81" s="173">
        <v>42</v>
      </c>
      <c r="T81" s="173">
        <v>0.5</v>
      </c>
    </row>
    <row r="82" spans="2:20" ht="15" customHeight="1" x14ac:dyDescent="0.3">
      <c r="B82" s="188" t="s">
        <v>264</v>
      </c>
      <c r="C82" s="366" t="s">
        <v>265</v>
      </c>
      <c r="D82" s="366"/>
      <c r="E82" s="173">
        <v>30</v>
      </c>
      <c r="F82" s="173">
        <v>0.15</v>
      </c>
      <c r="G82" s="173">
        <v>0</v>
      </c>
      <c r="H82" s="173">
        <v>17.850000000000001</v>
      </c>
      <c r="I82" s="173">
        <v>71.7</v>
      </c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</row>
    <row r="83" spans="2:20" ht="19.5" customHeight="1" x14ac:dyDescent="0.3">
      <c r="B83" s="173" t="s">
        <v>266</v>
      </c>
      <c r="C83" s="359" t="s">
        <v>137</v>
      </c>
      <c r="D83" s="359"/>
      <c r="E83" s="173">
        <v>170</v>
      </c>
      <c r="F83" s="173">
        <v>29.02</v>
      </c>
      <c r="G83" s="173">
        <v>18.239999999999998</v>
      </c>
      <c r="H83" s="173">
        <v>28.34</v>
      </c>
      <c r="I83" s="173">
        <v>394.18</v>
      </c>
      <c r="J83" s="173">
        <v>7.0000000000000007E-2</v>
      </c>
      <c r="K83" s="173">
        <v>0.36</v>
      </c>
      <c r="L83" s="173">
        <v>0.32</v>
      </c>
      <c r="M83" s="173">
        <v>7.0000000000000007E-2</v>
      </c>
      <c r="N83" s="173"/>
      <c r="O83" s="173">
        <v>240.26</v>
      </c>
      <c r="P83" s="173">
        <v>328.66</v>
      </c>
      <c r="Q83" s="173"/>
      <c r="R83" s="173">
        <v>0.03</v>
      </c>
      <c r="S83" s="173">
        <v>36.26</v>
      </c>
      <c r="T83" s="173">
        <v>1.02</v>
      </c>
    </row>
    <row r="84" spans="2:20" x14ac:dyDescent="0.3">
      <c r="B84" s="173">
        <v>376</v>
      </c>
      <c r="C84" s="359" t="s">
        <v>141</v>
      </c>
      <c r="D84" s="359"/>
      <c r="E84" s="173">
        <v>200</v>
      </c>
      <c r="F84" s="173">
        <v>0.2</v>
      </c>
      <c r="G84" s="173">
        <v>0.05</v>
      </c>
      <c r="H84" s="173">
        <v>15.01</v>
      </c>
      <c r="I84" s="173">
        <v>61</v>
      </c>
      <c r="J84" s="173">
        <v>0</v>
      </c>
      <c r="K84" s="173">
        <v>0.01</v>
      </c>
      <c r="L84" s="173">
        <v>9</v>
      </c>
      <c r="M84" s="173">
        <v>1E-4</v>
      </c>
      <c r="N84" s="173">
        <v>4.4999999999999998E-2</v>
      </c>
      <c r="O84" s="173">
        <v>5.25</v>
      </c>
      <c r="P84" s="173">
        <v>8.24</v>
      </c>
      <c r="Q84" s="173">
        <v>8.0000000000000002E-3</v>
      </c>
      <c r="R84" s="173">
        <v>0</v>
      </c>
      <c r="S84" s="173">
        <v>4.4000000000000004</v>
      </c>
      <c r="T84" s="173">
        <v>0.87</v>
      </c>
    </row>
    <row r="85" spans="2:20" ht="21" customHeight="1" x14ac:dyDescent="0.3">
      <c r="B85" s="173" t="s">
        <v>224</v>
      </c>
      <c r="C85" s="359" t="s">
        <v>267</v>
      </c>
      <c r="D85" s="359"/>
      <c r="E85" s="173">
        <v>40</v>
      </c>
      <c r="F85" s="173">
        <v>2.67</v>
      </c>
      <c r="G85" s="173">
        <v>0.53</v>
      </c>
      <c r="H85" s="173">
        <v>13.73</v>
      </c>
      <c r="I85" s="173">
        <v>70.400000000000006</v>
      </c>
      <c r="J85" s="173">
        <v>0.13</v>
      </c>
      <c r="K85" s="173">
        <v>1.2999999999999999E-2</v>
      </c>
      <c r="L85" s="173">
        <v>0.1</v>
      </c>
      <c r="M85" s="173">
        <v>0</v>
      </c>
      <c r="N85" s="173">
        <v>0.93300000000000005</v>
      </c>
      <c r="O85" s="173">
        <v>14</v>
      </c>
      <c r="P85" s="173">
        <v>63.2</v>
      </c>
      <c r="Q85" s="173">
        <v>1.2999999999999999E-2</v>
      </c>
      <c r="R85" s="173">
        <v>4.0000000000000001E-3</v>
      </c>
      <c r="S85" s="173">
        <v>18.8</v>
      </c>
      <c r="T85" s="173">
        <v>1.6</v>
      </c>
    </row>
    <row r="86" spans="2:20" x14ac:dyDescent="0.3">
      <c r="B86" s="360" t="s">
        <v>225</v>
      </c>
      <c r="C86" s="360"/>
      <c r="D86" s="360"/>
      <c r="E86" s="189">
        <f>E80+E82+E83+E84+E85</f>
        <v>500</v>
      </c>
      <c r="F86" s="189">
        <f>F80+F82+F83+F84+F85</f>
        <v>32.68</v>
      </c>
      <c r="G86" s="189">
        <f t="shared" ref="G86:T86" si="15">G80+G82+G83+G84+G85</f>
        <v>18.920000000000002</v>
      </c>
      <c r="H86" s="189">
        <f t="shared" si="15"/>
        <v>80.040000000000006</v>
      </c>
      <c r="I86" s="189">
        <f t="shared" si="15"/>
        <v>621.17999999999995</v>
      </c>
      <c r="J86" s="189">
        <f t="shared" si="15"/>
        <v>0.23</v>
      </c>
      <c r="K86" s="189">
        <f t="shared" si="15"/>
        <v>0.40300000000000002</v>
      </c>
      <c r="L86" s="189">
        <f t="shared" si="15"/>
        <v>12.049999999999999</v>
      </c>
      <c r="M86" s="189">
        <f t="shared" si="15"/>
        <v>9.0100000000000013E-2</v>
      </c>
      <c r="N86" s="189">
        <f t="shared" si="15"/>
        <v>2.472</v>
      </c>
      <c r="O86" s="189">
        <f t="shared" si="15"/>
        <v>273.90999999999997</v>
      </c>
      <c r="P86" s="189">
        <f t="shared" si="15"/>
        <v>420.49</v>
      </c>
      <c r="Q86" s="189">
        <f t="shared" si="15"/>
        <v>0.15100000000000002</v>
      </c>
      <c r="R86" s="189">
        <f t="shared" si="15"/>
        <v>3.5000000000000003E-2</v>
      </c>
      <c r="S86" s="189">
        <f t="shared" si="15"/>
        <v>66.06</v>
      </c>
      <c r="T86" s="189">
        <f t="shared" si="15"/>
        <v>4.1300000000000008</v>
      </c>
    </row>
    <row r="87" spans="2:20" x14ac:dyDescent="0.3">
      <c r="B87" s="360" t="s">
        <v>226</v>
      </c>
      <c r="C87" s="360"/>
      <c r="D87" s="360"/>
      <c r="E87" s="360"/>
      <c r="F87" s="190">
        <f t="shared" ref="F87:T87" si="16">F86/F104</f>
        <v>0.42441558441558441</v>
      </c>
      <c r="G87" s="190">
        <f t="shared" si="16"/>
        <v>0.23949367088607598</v>
      </c>
      <c r="H87" s="190">
        <f t="shared" si="16"/>
        <v>0.23892537313432838</v>
      </c>
      <c r="I87" s="190">
        <f t="shared" si="16"/>
        <v>0.26433191489361701</v>
      </c>
      <c r="J87" s="190">
        <f t="shared" si="16"/>
        <v>0.19166666666666668</v>
      </c>
      <c r="K87" s="190">
        <f t="shared" si="16"/>
        <v>0.28785714285714287</v>
      </c>
      <c r="L87" s="190">
        <f t="shared" si="16"/>
        <v>0.20083333333333331</v>
      </c>
      <c r="M87" s="190">
        <f t="shared" si="16"/>
        <v>0.12871428571428575</v>
      </c>
      <c r="N87" s="190">
        <f t="shared" si="16"/>
        <v>0.2472</v>
      </c>
      <c r="O87" s="190">
        <f t="shared" si="16"/>
        <v>0.24900909090909087</v>
      </c>
      <c r="P87" s="190">
        <f t="shared" si="16"/>
        <v>0.38226363636363636</v>
      </c>
      <c r="Q87" s="190">
        <f t="shared" si="16"/>
        <v>1.5100000000000002E-2</v>
      </c>
      <c r="R87" s="190">
        <f t="shared" si="16"/>
        <v>0.35000000000000003</v>
      </c>
      <c r="S87" s="190">
        <f t="shared" si="16"/>
        <v>0.26424000000000003</v>
      </c>
      <c r="T87" s="190">
        <f t="shared" si="16"/>
        <v>0.34416666666666673</v>
      </c>
    </row>
    <row r="88" spans="2:20" x14ac:dyDescent="0.3">
      <c r="B88" s="360" t="s">
        <v>227</v>
      </c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</row>
    <row r="89" spans="2:20" ht="17.25" customHeight="1" x14ac:dyDescent="0.3">
      <c r="B89" s="173" t="s">
        <v>268</v>
      </c>
      <c r="C89" s="359" t="s">
        <v>269</v>
      </c>
      <c r="D89" s="359"/>
      <c r="E89" s="173">
        <v>60</v>
      </c>
      <c r="F89" s="173">
        <v>0.5</v>
      </c>
      <c r="G89" s="173">
        <v>3.02</v>
      </c>
      <c r="H89" s="173">
        <v>1.1000000000000001</v>
      </c>
      <c r="I89" s="173">
        <v>33.6</v>
      </c>
      <c r="J89" s="173">
        <v>0.09</v>
      </c>
      <c r="K89" s="173">
        <v>0.02</v>
      </c>
      <c r="L89" s="173">
        <v>4.25</v>
      </c>
      <c r="M89" s="173">
        <v>0.09</v>
      </c>
      <c r="N89" s="173"/>
      <c r="O89" s="173">
        <v>20.38</v>
      </c>
      <c r="P89" s="173">
        <v>13.93</v>
      </c>
      <c r="Q89" s="173"/>
      <c r="R89" s="173">
        <v>0</v>
      </c>
      <c r="S89" s="173">
        <v>8.35</v>
      </c>
      <c r="T89" s="173">
        <v>0.38</v>
      </c>
    </row>
    <row r="90" spans="2:20" ht="27" customHeight="1" x14ac:dyDescent="0.3">
      <c r="B90" s="173">
        <v>24</v>
      </c>
      <c r="C90" s="359" t="s">
        <v>270</v>
      </c>
      <c r="D90" s="359"/>
      <c r="E90" s="173">
        <v>60</v>
      </c>
      <c r="F90" s="173">
        <v>0.3</v>
      </c>
      <c r="G90" s="173">
        <v>2</v>
      </c>
      <c r="H90" s="173">
        <v>1.6</v>
      </c>
      <c r="I90" s="173">
        <v>25.6</v>
      </c>
      <c r="J90" s="173">
        <v>0.06</v>
      </c>
      <c r="K90" s="173">
        <v>0.04</v>
      </c>
      <c r="L90" s="173">
        <v>12.4</v>
      </c>
      <c r="M90" s="173">
        <v>0</v>
      </c>
      <c r="N90" s="173">
        <v>1.5</v>
      </c>
      <c r="O90" s="173">
        <v>28.2</v>
      </c>
      <c r="P90" s="173">
        <v>32.299999999999997</v>
      </c>
      <c r="Q90" s="173">
        <v>0.3</v>
      </c>
      <c r="R90" s="173">
        <v>0</v>
      </c>
      <c r="S90" s="173">
        <v>18.600000000000001</v>
      </c>
      <c r="T90" s="173">
        <v>0.5</v>
      </c>
    </row>
    <row r="91" spans="2:20" ht="16.5" customHeight="1" x14ac:dyDescent="0.3">
      <c r="B91" s="173">
        <v>110</v>
      </c>
      <c r="C91" s="359" t="s">
        <v>271</v>
      </c>
      <c r="D91" s="359"/>
      <c r="E91" s="173">
        <v>200</v>
      </c>
      <c r="F91" s="173">
        <v>1.28</v>
      </c>
      <c r="G91" s="173">
        <v>3.84</v>
      </c>
      <c r="H91" s="173">
        <v>8.98</v>
      </c>
      <c r="I91" s="173">
        <v>75</v>
      </c>
      <c r="J91" s="173">
        <v>0.04</v>
      </c>
      <c r="K91" s="173">
        <v>0.04</v>
      </c>
      <c r="L91" s="173">
        <v>6.1</v>
      </c>
      <c r="M91" s="173">
        <v>0.04</v>
      </c>
      <c r="N91" s="173"/>
      <c r="O91" s="173">
        <v>22.26</v>
      </c>
      <c r="P91" s="173">
        <v>0</v>
      </c>
      <c r="Q91" s="173"/>
      <c r="R91" s="173">
        <v>0</v>
      </c>
      <c r="S91" s="173">
        <v>15.58</v>
      </c>
      <c r="T91" s="173">
        <v>0.72</v>
      </c>
    </row>
    <row r="92" spans="2:20" ht="18" customHeight="1" x14ac:dyDescent="0.3">
      <c r="B92" s="173">
        <v>291</v>
      </c>
      <c r="C92" s="359" t="s">
        <v>272</v>
      </c>
      <c r="D92" s="359"/>
      <c r="E92" s="173">
        <v>240</v>
      </c>
      <c r="F92" s="173">
        <v>22.36</v>
      </c>
      <c r="G92" s="173">
        <v>26.14</v>
      </c>
      <c r="H92" s="173">
        <v>47.23</v>
      </c>
      <c r="I92" s="173">
        <v>513.6</v>
      </c>
      <c r="J92" s="173">
        <v>0.82</v>
      </c>
      <c r="K92" s="173">
        <v>0.79</v>
      </c>
      <c r="L92" s="173">
        <v>4.3</v>
      </c>
      <c r="M92" s="173">
        <v>0.46</v>
      </c>
      <c r="N92" s="173">
        <v>0</v>
      </c>
      <c r="O92" s="173">
        <v>44.29</v>
      </c>
      <c r="P92" s="173">
        <v>301.66000000000003</v>
      </c>
      <c r="Q92" s="173">
        <v>0</v>
      </c>
      <c r="R92" s="173">
        <v>0</v>
      </c>
      <c r="S92" s="173">
        <v>64.39</v>
      </c>
      <c r="T92" s="173">
        <v>2.77</v>
      </c>
    </row>
    <row r="93" spans="2:20" ht="18.75" customHeight="1" x14ac:dyDescent="0.3">
      <c r="B93" s="173">
        <v>342</v>
      </c>
      <c r="C93" s="359" t="s">
        <v>273</v>
      </c>
      <c r="D93" s="359"/>
      <c r="E93" s="173">
        <v>200</v>
      </c>
      <c r="F93" s="173">
        <v>0.16</v>
      </c>
      <c r="G93" s="173">
        <v>0.16</v>
      </c>
      <c r="H93" s="173">
        <v>27.9</v>
      </c>
      <c r="I93" s="173">
        <v>113.6</v>
      </c>
      <c r="J93" s="173">
        <v>0.01</v>
      </c>
      <c r="K93" s="173">
        <v>0.01</v>
      </c>
      <c r="L93" s="173">
        <v>6.6</v>
      </c>
      <c r="M93" s="173">
        <v>0.01</v>
      </c>
      <c r="N93" s="173">
        <v>0.4</v>
      </c>
      <c r="O93" s="173">
        <v>6.88</v>
      </c>
      <c r="P93" s="173">
        <v>4.4000000000000004</v>
      </c>
      <c r="Q93" s="173">
        <v>0.08</v>
      </c>
      <c r="R93" s="173">
        <v>0.01</v>
      </c>
      <c r="S93" s="173">
        <v>3.6</v>
      </c>
      <c r="T93" s="173">
        <v>0.95</v>
      </c>
    </row>
    <row r="94" spans="2:20" ht="18" customHeight="1" x14ac:dyDescent="0.3">
      <c r="B94" s="173" t="s">
        <v>224</v>
      </c>
      <c r="C94" s="359" t="s">
        <v>235</v>
      </c>
      <c r="D94" s="359"/>
      <c r="E94" s="173">
        <v>40</v>
      </c>
      <c r="F94" s="173">
        <v>2.64</v>
      </c>
      <c r="G94" s="173">
        <v>0.48</v>
      </c>
      <c r="H94" s="173">
        <v>13.68</v>
      </c>
      <c r="I94" s="173">
        <v>69.599999999999994</v>
      </c>
      <c r="J94" s="173">
        <v>0.08</v>
      </c>
      <c r="K94" s="173">
        <v>0.04</v>
      </c>
      <c r="L94" s="173">
        <v>0</v>
      </c>
      <c r="M94" s="173">
        <v>0</v>
      </c>
      <c r="N94" s="173">
        <v>2.4</v>
      </c>
      <c r="O94" s="173">
        <v>14</v>
      </c>
      <c r="P94" s="173">
        <v>63.2</v>
      </c>
      <c r="Q94" s="173">
        <v>1.2</v>
      </c>
      <c r="R94" s="173">
        <v>1E-3</v>
      </c>
      <c r="S94" s="173">
        <v>9.4</v>
      </c>
      <c r="T94" s="173">
        <v>0.78</v>
      </c>
    </row>
    <row r="95" spans="2:20" ht="18" customHeight="1" x14ac:dyDescent="0.3">
      <c r="B95" s="173" t="s">
        <v>224</v>
      </c>
      <c r="C95" s="359" t="s">
        <v>117</v>
      </c>
      <c r="D95" s="359"/>
      <c r="E95" s="173">
        <v>30</v>
      </c>
      <c r="F95" s="173">
        <v>1.52</v>
      </c>
      <c r="G95" s="173">
        <v>0.16</v>
      </c>
      <c r="H95" s="173">
        <v>9.84</v>
      </c>
      <c r="I95" s="173">
        <v>46.9</v>
      </c>
      <c r="J95" s="173">
        <v>0.02</v>
      </c>
      <c r="K95" s="173">
        <v>0.01</v>
      </c>
      <c r="L95" s="173">
        <v>0.44</v>
      </c>
      <c r="M95" s="173">
        <v>0</v>
      </c>
      <c r="N95" s="173">
        <v>0.7</v>
      </c>
      <c r="O95" s="173">
        <v>4</v>
      </c>
      <c r="P95" s="173">
        <v>13</v>
      </c>
      <c r="Q95" s="173">
        <v>8.0000000000000002E-3</v>
      </c>
      <c r="R95" s="173">
        <v>1E-3</v>
      </c>
      <c r="S95" s="173">
        <v>0</v>
      </c>
      <c r="T95" s="173">
        <v>0.22</v>
      </c>
    </row>
    <row r="96" spans="2:20" ht="25.5" customHeight="1" x14ac:dyDescent="0.3">
      <c r="B96" s="360" t="s">
        <v>236</v>
      </c>
      <c r="C96" s="360"/>
      <c r="D96" s="360"/>
      <c r="E96" s="189">
        <f>SUM(E90:E95)</f>
        <v>770</v>
      </c>
      <c r="F96" s="189">
        <f t="shared" ref="F96:T96" si="17">SUM(F90:F95)</f>
        <v>28.259999999999998</v>
      </c>
      <c r="G96" s="189">
        <f t="shared" si="17"/>
        <v>32.779999999999994</v>
      </c>
      <c r="H96" s="189">
        <f t="shared" si="17"/>
        <v>109.22999999999999</v>
      </c>
      <c r="I96" s="189">
        <f t="shared" si="17"/>
        <v>844.30000000000007</v>
      </c>
      <c r="J96" s="189">
        <f t="shared" si="17"/>
        <v>1.03</v>
      </c>
      <c r="K96" s="189">
        <f t="shared" si="17"/>
        <v>0.93</v>
      </c>
      <c r="L96" s="189">
        <f t="shared" si="17"/>
        <v>29.84</v>
      </c>
      <c r="M96" s="189">
        <f t="shared" si="17"/>
        <v>0.51</v>
      </c>
      <c r="N96" s="189">
        <f t="shared" si="17"/>
        <v>5</v>
      </c>
      <c r="O96" s="189">
        <f t="shared" si="17"/>
        <v>119.63</v>
      </c>
      <c r="P96" s="189">
        <f t="shared" si="17"/>
        <v>414.56</v>
      </c>
      <c r="Q96" s="189">
        <f t="shared" si="17"/>
        <v>1.5880000000000001</v>
      </c>
      <c r="R96" s="189">
        <f t="shared" si="17"/>
        <v>1.2E-2</v>
      </c>
      <c r="S96" s="189">
        <f t="shared" si="17"/>
        <v>111.57</v>
      </c>
      <c r="T96" s="189">
        <f t="shared" si="17"/>
        <v>5.94</v>
      </c>
    </row>
    <row r="97" spans="2:20" x14ac:dyDescent="0.3">
      <c r="B97" s="360" t="s">
        <v>226</v>
      </c>
      <c r="C97" s="360"/>
      <c r="D97" s="360"/>
      <c r="E97" s="360"/>
      <c r="F97" s="190">
        <f t="shared" ref="F97:T97" si="18">F96/F104</f>
        <v>0.36701298701298701</v>
      </c>
      <c r="G97" s="190">
        <f t="shared" si="18"/>
        <v>0.4149367088607594</v>
      </c>
      <c r="H97" s="190">
        <f t="shared" si="18"/>
        <v>0.32605970149253727</v>
      </c>
      <c r="I97" s="190">
        <f t="shared" si="18"/>
        <v>0.3592765957446809</v>
      </c>
      <c r="J97" s="190">
        <f t="shared" si="18"/>
        <v>0.85833333333333339</v>
      </c>
      <c r="K97" s="190">
        <f t="shared" si="18"/>
        <v>0.66428571428571437</v>
      </c>
      <c r="L97" s="190">
        <f t="shared" si="18"/>
        <v>0.49733333333333335</v>
      </c>
      <c r="M97" s="191">
        <f t="shared" si="18"/>
        <v>0.72857142857142865</v>
      </c>
      <c r="N97" s="190">
        <f t="shared" si="18"/>
        <v>0.5</v>
      </c>
      <c r="O97" s="190">
        <f t="shared" si="18"/>
        <v>0.10875454545454545</v>
      </c>
      <c r="P97" s="190">
        <f t="shared" si="18"/>
        <v>0.37687272727272725</v>
      </c>
      <c r="Q97" s="190">
        <f t="shared" si="18"/>
        <v>0.1588</v>
      </c>
      <c r="R97" s="190">
        <f t="shared" si="18"/>
        <v>0.12</v>
      </c>
      <c r="S97" s="190">
        <f t="shared" si="18"/>
        <v>0.44627999999999995</v>
      </c>
      <c r="T97" s="190">
        <f t="shared" si="18"/>
        <v>0.49500000000000005</v>
      </c>
    </row>
    <row r="98" spans="2:20" x14ac:dyDescent="0.3">
      <c r="B98" s="355" t="s">
        <v>237</v>
      </c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</row>
    <row r="99" spans="2:20" ht="16.5" customHeight="1" x14ac:dyDescent="0.3">
      <c r="B99" s="177" t="s">
        <v>224</v>
      </c>
      <c r="C99" s="352" t="s">
        <v>274</v>
      </c>
      <c r="D99" s="352"/>
      <c r="E99" s="177">
        <v>100</v>
      </c>
      <c r="F99" s="177">
        <v>13.08</v>
      </c>
      <c r="G99" s="177">
        <v>6.06</v>
      </c>
      <c r="H99" s="177">
        <v>49.58</v>
      </c>
      <c r="I99" s="177">
        <v>306</v>
      </c>
      <c r="J99" s="177">
        <v>0.14000000000000001</v>
      </c>
      <c r="K99" s="177">
        <v>0.18</v>
      </c>
      <c r="L99" s="177">
        <v>0.18</v>
      </c>
      <c r="M99" s="177">
        <v>0.14000000000000001</v>
      </c>
      <c r="N99" s="177"/>
      <c r="O99" s="177">
        <v>75.8</v>
      </c>
      <c r="P99" s="177">
        <v>140</v>
      </c>
      <c r="Q99" s="177"/>
      <c r="R99" s="177">
        <v>0</v>
      </c>
      <c r="S99" s="177">
        <v>34.6</v>
      </c>
      <c r="T99" s="177">
        <v>1.52</v>
      </c>
    </row>
    <row r="100" spans="2:20" ht="17.25" customHeight="1" x14ac:dyDescent="0.3">
      <c r="B100" s="173">
        <v>377</v>
      </c>
      <c r="C100" s="359" t="s">
        <v>149</v>
      </c>
      <c r="D100" s="359"/>
      <c r="E100" s="173" t="s">
        <v>234</v>
      </c>
      <c r="F100" s="173">
        <v>0.26</v>
      </c>
      <c r="G100" s="173">
        <v>0.06</v>
      </c>
      <c r="H100" s="173">
        <v>15.22</v>
      </c>
      <c r="I100" s="173">
        <v>62.5</v>
      </c>
      <c r="J100" s="173"/>
      <c r="K100" s="173">
        <v>0.01</v>
      </c>
      <c r="L100" s="173">
        <v>2.9</v>
      </c>
      <c r="M100" s="173">
        <v>0</v>
      </c>
      <c r="N100" s="173">
        <v>0.06</v>
      </c>
      <c r="O100" s="173">
        <v>8.0500000000000007</v>
      </c>
      <c r="P100" s="173">
        <v>9.7799999999999994</v>
      </c>
      <c r="Q100" s="173">
        <v>0.02</v>
      </c>
      <c r="R100" s="173">
        <v>0</v>
      </c>
      <c r="S100" s="173">
        <v>5.24</v>
      </c>
      <c r="T100" s="173">
        <v>0.87</v>
      </c>
    </row>
    <row r="101" spans="2:20" ht="15" customHeight="1" x14ac:dyDescent="0.3">
      <c r="B101" s="185" t="s">
        <v>240</v>
      </c>
      <c r="C101" s="192"/>
      <c r="D101" s="186"/>
      <c r="E101" s="178">
        <f>E99+204</f>
        <v>304</v>
      </c>
      <c r="F101" s="178">
        <f>F99+F100</f>
        <v>13.34</v>
      </c>
      <c r="G101" s="178">
        <f t="shared" ref="G101:T101" si="19">G99+G100</f>
        <v>6.1199999999999992</v>
      </c>
      <c r="H101" s="178">
        <f t="shared" si="19"/>
        <v>64.8</v>
      </c>
      <c r="I101" s="178">
        <f t="shared" si="19"/>
        <v>368.5</v>
      </c>
      <c r="J101" s="178">
        <f t="shared" si="19"/>
        <v>0.14000000000000001</v>
      </c>
      <c r="K101" s="178">
        <f t="shared" si="19"/>
        <v>0.19</v>
      </c>
      <c r="L101" s="178">
        <f t="shared" si="19"/>
        <v>3.08</v>
      </c>
      <c r="M101" s="178">
        <f t="shared" si="19"/>
        <v>0.14000000000000001</v>
      </c>
      <c r="N101" s="178">
        <f t="shared" si="19"/>
        <v>0.06</v>
      </c>
      <c r="O101" s="178">
        <f t="shared" si="19"/>
        <v>83.85</v>
      </c>
      <c r="P101" s="178">
        <f t="shared" si="19"/>
        <v>149.78</v>
      </c>
      <c r="Q101" s="178">
        <f t="shared" si="19"/>
        <v>0.02</v>
      </c>
      <c r="R101" s="178">
        <f t="shared" si="19"/>
        <v>0</v>
      </c>
      <c r="S101" s="178">
        <f t="shared" si="19"/>
        <v>39.840000000000003</v>
      </c>
      <c r="T101" s="178">
        <f t="shared" si="19"/>
        <v>2.39</v>
      </c>
    </row>
    <row r="102" spans="2:20" ht="15" customHeight="1" x14ac:dyDescent="0.3">
      <c r="B102" s="350" t="s">
        <v>226</v>
      </c>
      <c r="C102" s="350"/>
      <c r="D102" s="350"/>
      <c r="E102" s="350"/>
      <c r="F102" s="179">
        <f>F101/F104</f>
        <v>0.17324675324675323</v>
      </c>
      <c r="G102" s="179">
        <f t="shared" ref="G102:T102" si="20">G101/G104</f>
        <v>7.7468354430379735E-2</v>
      </c>
      <c r="H102" s="179">
        <f t="shared" si="20"/>
        <v>0.19343283582089552</v>
      </c>
      <c r="I102" s="179">
        <f t="shared" si="20"/>
        <v>0.15680851063829787</v>
      </c>
      <c r="J102" s="179">
        <f t="shared" si="20"/>
        <v>0.11666666666666668</v>
      </c>
      <c r="K102" s="179">
        <f t="shared" si="20"/>
        <v>0.13571428571428573</v>
      </c>
      <c r="L102" s="179">
        <f t="shared" si="20"/>
        <v>5.1333333333333335E-2</v>
      </c>
      <c r="M102" s="179">
        <f t="shared" si="20"/>
        <v>0.20000000000000004</v>
      </c>
      <c r="N102" s="179">
        <f t="shared" si="20"/>
        <v>6.0000000000000001E-3</v>
      </c>
      <c r="O102" s="179">
        <f t="shared" si="20"/>
        <v>7.6227272727272727E-2</v>
      </c>
      <c r="P102" s="179">
        <f t="shared" si="20"/>
        <v>0.13616363636363638</v>
      </c>
      <c r="Q102" s="179">
        <f t="shared" si="20"/>
        <v>2E-3</v>
      </c>
      <c r="R102" s="179">
        <f t="shared" si="20"/>
        <v>0</v>
      </c>
      <c r="S102" s="179">
        <f t="shared" si="20"/>
        <v>0.15936</v>
      </c>
      <c r="T102" s="179">
        <f t="shared" si="20"/>
        <v>0.19916666666666669</v>
      </c>
    </row>
    <row r="103" spans="2:20" x14ac:dyDescent="0.3">
      <c r="B103" s="360" t="s">
        <v>241</v>
      </c>
      <c r="C103" s="360"/>
      <c r="D103" s="360"/>
      <c r="E103" s="360"/>
      <c r="F103" s="189">
        <f>F101+F96+F86</f>
        <v>74.28</v>
      </c>
      <c r="G103" s="189">
        <f t="shared" ref="G103:T103" si="21">G101+G96+G86</f>
        <v>57.819999999999993</v>
      </c>
      <c r="H103" s="189">
        <f t="shared" si="21"/>
        <v>254.07</v>
      </c>
      <c r="I103" s="189">
        <f t="shared" si="21"/>
        <v>1833.98</v>
      </c>
      <c r="J103" s="189">
        <f t="shared" si="21"/>
        <v>1.4</v>
      </c>
      <c r="K103" s="189">
        <f t="shared" si="21"/>
        <v>1.5230000000000001</v>
      </c>
      <c r="L103" s="189">
        <f t="shared" si="21"/>
        <v>44.97</v>
      </c>
      <c r="M103" s="189">
        <f t="shared" si="21"/>
        <v>0.74009999999999998</v>
      </c>
      <c r="N103" s="189">
        <f t="shared" si="21"/>
        <v>7.532</v>
      </c>
      <c r="O103" s="189">
        <f t="shared" si="21"/>
        <v>477.39</v>
      </c>
      <c r="P103" s="189">
        <f t="shared" si="21"/>
        <v>984.83</v>
      </c>
      <c r="Q103" s="189">
        <f t="shared" si="21"/>
        <v>1.7590000000000001</v>
      </c>
      <c r="R103" s="189">
        <f t="shared" si="21"/>
        <v>4.7E-2</v>
      </c>
      <c r="S103" s="189">
        <f t="shared" si="21"/>
        <v>217.47</v>
      </c>
      <c r="T103" s="189">
        <f t="shared" si="21"/>
        <v>12.46</v>
      </c>
    </row>
    <row r="104" spans="2:20" x14ac:dyDescent="0.3">
      <c r="B104" s="360" t="s">
        <v>242</v>
      </c>
      <c r="C104" s="360"/>
      <c r="D104" s="360"/>
      <c r="E104" s="360"/>
      <c r="F104" s="173">
        <v>77</v>
      </c>
      <c r="G104" s="173">
        <v>79</v>
      </c>
      <c r="H104" s="173">
        <v>335</v>
      </c>
      <c r="I104" s="173">
        <v>2350</v>
      </c>
      <c r="J104" s="173">
        <v>1.2</v>
      </c>
      <c r="K104" s="173">
        <v>1.4</v>
      </c>
      <c r="L104" s="173">
        <v>60</v>
      </c>
      <c r="M104" s="173">
        <v>0.7</v>
      </c>
      <c r="N104" s="173">
        <v>10</v>
      </c>
      <c r="O104" s="173">
        <v>1100</v>
      </c>
      <c r="P104" s="173">
        <v>1100</v>
      </c>
      <c r="Q104" s="173">
        <v>10</v>
      </c>
      <c r="R104" s="173">
        <v>0.1</v>
      </c>
      <c r="S104" s="173">
        <v>250</v>
      </c>
      <c r="T104" s="173">
        <v>12</v>
      </c>
    </row>
    <row r="105" spans="2:20" x14ac:dyDescent="0.3">
      <c r="B105" s="360" t="s">
        <v>226</v>
      </c>
      <c r="C105" s="360"/>
      <c r="D105" s="360"/>
      <c r="E105" s="360"/>
      <c r="F105" s="190">
        <f>F103/F104</f>
        <v>0.96467532467532469</v>
      </c>
      <c r="G105" s="190">
        <f t="shared" ref="G105:T105" si="22">G103/G104</f>
        <v>0.73189873417721507</v>
      </c>
      <c r="H105" s="190">
        <f t="shared" si="22"/>
        <v>0.75841791044776119</v>
      </c>
      <c r="I105" s="190">
        <f t="shared" si="22"/>
        <v>0.78041702127659573</v>
      </c>
      <c r="J105" s="190">
        <f t="shared" si="22"/>
        <v>1.1666666666666667</v>
      </c>
      <c r="K105" s="190">
        <f t="shared" si="22"/>
        <v>1.0878571428571431</v>
      </c>
      <c r="L105" s="190">
        <f t="shared" si="22"/>
        <v>0.74949999999999994</v>
      </c>
      <c r="M105" s="190">
        <f t="shared" si="22"/>
        <v>1.0572857142857144</v>
      </c>
      <c r="N105" s="190">
        <f t="shared" si="22"/>
        <v>0.75319999999999998</v>
      </c>
      <c r="O105" s="190">
        <f t="shared" si="22"/>
        <v>0.43399090909090909</v>
      </c>
      <c r="P105" s="190">
        <f t="shared" si="22"/>
        <v>0.89529999999999998</v>
      </c>
      <c r="Q105" s="190">
        <f t="shared" si="22"/>
        <v>0.1759</v>
      </c>
      <c r="R105" s="190">
        <f t="shared" si="22"/>
        <v>0.47</v>
      </c>
      <c r="S105" s="190">
        <f t="shared" si="22"/>
        <v>0.86987999999999999</v>
      </c>
      <c r="T105" s="190">
        <f t="shared" si="22"/>
        <v>1.0383333333333333</v>
      </c>
    </row>
    <row r="106" spans="2:20" x14ac:dyDescent="0.3">
      <c r="B106" s="172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363" t="s">
        <v>187</v>
      </c>
      <c r="N106" s="363"/>
      <c r="O106" s="363"/>
      <c r="P106" s="363"/>
      <c r="Q106" s="363"/>
      <c r="R106" s="363"/>
      <c r="S106" s="363"/>
      <c r="T106" s="363"/>
    </row>
    <row r="107" spans="2:20" x14ac:dyDescent="0.3">
      <c r="B107" s="360" t="s">
        <v>275</v>
      </c>
      <c r="C107" s="360"/>
      <c r="D107" s="360"/>
      <c r="E107" s="360"/>
      <c r="F107" s="360"/>
      <c r="G107" s="360"/>
      <c r="H107" s="360"/>
      <c r="I107" s="360"/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</row>
    <row r="108" spans="2:20" x14ac:dyDescent="0.3">
      <c r="B108" s="360" t="s">
        <v>189</v>
      </c>
      <c r="C108" s="360"/>
      <c r="D108" s="173"/>
      <c r="E108" s="173"/>
      <c r="F108" s="173"/>
      <c r="G108" s="363" t="s">
        <v>276</v>
      </c>
      <c r="H108" s="363"/>
      <c r="I108" s="363"/>
      <c r="J108" s="173"/>
      <c r="K108" s="173"/>
      <c r="L108" s="360" t="s">
        <v>191</v>
      </c>
      <c r="M108" s="360"/>
      <c r="N108" s="363" t="s">
        <v>192</v>
      </c>
      <c r="O108" s="363"/>
      <c r="P108" s="363"/>
      <c r="Q108" s="363"/>
      <c r="R108" s="173"/>
      <c r="S108" s="173"/>
      <c r="T108" s="173"/>
    </row>
    <row r="109" spans="2:20" x14ac:dyDescent="0.3">
      <c r="B109" s="173"/>
      <c r="C109" s="173"/>
      <c r="D109" s="173"/>
      <c r="E109" s="360" t="s">
        <v>194</v>
      </c>
      <c r="F109" s="360"/>
      <c r="G109" s="173">
        <v>1</v>
      </c>
      <c r="H109" s="173"/>
      <c r="I109" s="173"/>
      <c r="J109" s="173"/>
      <c r="K109" s="173"/>
      <c r="L109" s="360" t="s">
        <v>195</v>
      </c>
      <c r="M109" s="360"/>
      <c r="N109" s="363" t="s">
        <v>196</v>
      </c>
      <c r="O109" s="363"/>
      <c r="P109" s="363"/>
      <c r="Q109" s="363"/>
      <c r="R109" s="363"/>
      <c r="S109" s="363"/>
      <c r="T109" s="363"/>
    </row>
    <row r="110" spans="2:20" x14ac:dyDescent="0.3">
      <c r="B110" s="174" t="s">
        <v>0</v>
      </c>
      <c r="C110" s="361" t="s">
        <v>198</v>
      </c>
      <c r="D110" s="361"/>
      <c r="E110" s="361" t="s">
        <v>199</v>
      </c>
      <c r="F110" s="361" t="s">
        <v>200</v>
      </c>
      <c r="G110" s="361"/>
      <c r="H110" s="361"/>
      <c r="I110" s="174" t="s">
        <v>201</v>
      </c>
      <c r="J110" s="361" t="s">
        <v>202</v>
      </c>
      <c r="K110" s="361"/>
      <c r="L110" s="361"/>
      <c r="M110" s="361"/>
      <c r="N110" s="361"/>
      <c r="O110" s="361" t="s">
        <v>203</v>
      </c>
      <c r="P110" s="361"/>
      <c r="Q110" s="361"/>
      <c r="R110" s="361"/>
      <c r="S110" s="361"/>
      <c r="T110" s="361"/>
    </row>
    <row r="111" spans="2:20" ht="52.8" x14ac:dyDescent="0.3">
      <c r="B111" s="174" t="s">
        <v>245</v>
      </c>
      <c r="C111" s="361"/>
      <c r="D111" s="361"/>
      <c r="E111" s="361"/>
      <c r="F111" s="174" t="s">
        <v>204</v>
      </c>
      <c r="G111" s="174" t="s">
        <v>205</v>
      </c>
      <c r="H111" s="174" t="s">
        <v>206</v>
      </c>
      <c r="I111" s="174" t="s">
        <v>207</v>
      </c>
      <c r="J111" s="174" t="s">
        <v>208</v>
      </c>
      <c r="K111" s="174" t="s">
        <v>209</v>
      </c>
      <c r="L111" s="174" t="s">
        <v>210</v>
      </c>
      <c r="M111" s="174" t="s">
        <v>211</v>
      </c>
      <c r="N111" s="174" t="s">
        <v>212</v>
      </c>
      <c r="O111" s="174" t="s">
        <v>213</v>
      </c>
      <c r="P111" s="174" t="s">
        <v>214</v>
      </c>
      <c r="Q111" s="174" t="s">
        <v>215</v>
      </c>
      <c r="R111" s="174" t="s">
        <v>216</v>
      </c>
      <c r="S111" s="174" t="s">
        <v>217</v>
      </c>
      <c r="T111" s="174" t="s">
        <v>218</v>
      </c>
    </row>
    <row r="112" spans="2:20" x14ac:dyDescent="0.3">
      <c r="B112" s="175">
        <v>1</v>
      </c>
      <c r="C112" s="362">
        <v>2</v>
      </c>
      <c r="D112" s="362"/>
      <c r="E112" s="175">
        <v>3</v>
      </c>
      <c r="F112" s="175">
        <v>4</v>
      </c>
      <c r="G112" s="175">
        <v>5</v>
      </c>
      <c r="H112" s="175">
        <v>6</v>
      </c>
      <c r="I112" s="175">
        <v>7</v>
      </c>
      <c r="J112" s="175">
        <v>8</v>
      </c>
      <c r="K112" s="175">
        <v>9</v>
      </c>
      <c r="L112" s="175">
        <v>10</v>
      </c>
      <c r="M112" s="175">
        <v>11</v>
      </c>
      <c r="N112" s="175">
        <v>12</v>
      </c>
      <c r="O112" s="175">
        <v>13</v>
      </c>
      <c r="P112" s="175">
        <v>14</v>
      </c>
      <c r="Q112" s="175">
        <v>15</v>
      </c>
      <c r="R112" s="175">
        <v>16</v>
      </c>
      <c r="S112" s="175">
        <v>17</v>
      </c>
      <c r="T112" s="175">
        <v>18</v>
      </c>
    </row>
    <row r="113" spans="2:20" x14ac:dyDescent="0.3">
      <c r="B113" s="360" t="s">
        <v>246</v>
      </c>
      <c r="C113" s="360"/>
      <c r="D113" s="360"/>
      <c r="E113" s="360"/>
      <c r="F113" s="360"/>
      <c r="G113" s="360"/>
      <c r="H113" s="360"/>
      <c r="I113" s="360"/>
      <c r="J113" s="360"/>
      <c r="K113" s="360"/>
      <c r="L113" s="360"/>
      <c r="M113" s="360"/>
      <c r="N113" s="360"/>
      <c r="O113" s="360"/>
      <c r="P113" s="360"/>
      <c r="Q113" s="360"/>
      <c r="R113" s="360"/>
      <c r="S113" s="360"/>
      <c r="T113" s="360"/>
    </row>
    <row r="114" spans="2:20" ht="18" customHeight="1" x14ac:dyDescent="0.3">
      <c r="B114" s="173">
        <v>338</v>
      </c>
      <c r="C114" s="359" t="s">
        <v>277</v>
      </c>
      <c r="D114" s="359"/>
      <c r="E114" s="173">
        <v>100</v>
      </c>
      <c r="F114" s="173">
        <v>0.4</v>
      </c>
      <c r="G114" s="173">
        <v>0.3</v>
      </c>
      <c r="H114" s="173">
        <v>10.3</v>
      </c>
      <c r="I114" s="173">
        <v>45.5</v>
      </c>
      <c r="J114" s="173">
        <v>0.04</v>
      </c>
      <c r="K114" s="173">
        <v>0.02</v>
      </c>
      <c r="L114" s="173">
        <v>5</v>
      </c>
      <c r="M114" s="173">
        <v>0.01</v>
      </c>
      <c r="N114" s="173">
        <v>0.2</v>
      </c>
      <c r="O114" s="173">
        <v>19</v>
      </c>
      <c r="P114" s="173">
        <v>11</v>
      </c>
      <c r="Q114" s="173">
        <v>0.03</v>
      </c>
      <c r="R114" s="173">
        <v>0</v>
      </c>
      <c r="S114" s="173">
        <v>12</v>
      </c>
      <c r="T114" s="173">
        <v>2.2999999999999998</v>
      </c>
    </row>
    <row r="115" spans="2:20" s="393" customFormat="1" ht="18.75" customHeight="1" x14ac:dyDescent="0.3">
      <c r="B115" s="260">
        <v>260</v>
      </c>
      <c r="C115" s="382" t="s">
        <v>232</v>
      </c>
      <c r="D115" s="382"/>
      <c r="E115" s="260">
        <v>90</v>
      </c>
      <c r="F115" s="260">
        <v>11.295</v>
      </c>
      <c r="G115" s="260">
        <v>11.691000000000001</v>
      </c>
      <c r="H115" s="260">
        <v>3.609</v>
      </c>
      <c r="I115" s="260">
        <v>164.25</v>
      </c>
      <c r="J115" s="260">
        <v>6.3E-2</v>
      </c>
      <c r="K115" s="260">
        <v>9.9000000000000005E-2</v>
      </c>
      <c r="L115" s="260">
        <v>4.5629999999999997</v>
      </c>
      <c r="M115" s="260">
        <v>1.341</v>
      </c>
      <c r="N115" s="260">
        <v>2.0249999999999999</v>
      </c>
      <c r="O115" s="260">
        <v>27.468</v>
      </c>
      <c r="P115" s="260">
        <v>107.271</v>
      </c>
      <c r="Q115" s="260"/>
      <c r="R115" s="260"/>
      <c r="S115" s="260">
        <v>21.626999999999999</v>
      </c>
      <c r="T115" s="260">
        <v>1.89</v>
      </c>
    </row>
    <row r="116" spans="2:20" ht="25.5" customHeight="1" x14ac:dyDescent="0.3">
      <c r="B116" s="173">
        <v>203</v>
      </c>
      <c r="C116" s="359" t="s">
        <v>278</v>
      </c>
      <c r="D116" s="359"/>
      <c r="E116" s="173">
        <v>150</v>
      </c>
      <c r="F116" s="173">
        <v>5.52</v>
      </c>
      <c r="G116" s="173">
        <v>4.5199999999999996</v>
      </c>
      <c r="H116" s="173">
        <v>26.45</v>
      </c>
      <c r="I116" s="173">
        <v>168.6</v>
      </c>
      <c r="J116" s="173">
        <v>0.09</v>
      </c>
      <c r="K116" s="173">
        <v>0.03</v>
      </c>
      <c r="L116" s="173">
        <v>0</v>
      </c>
      <c r="M116" s="173">
        <v>0.03</v>
      </c>
      <c r="N116" s="173">
        <v>1.25</v>
      </c>
      <c r="O116" s="173">
        <v>13.28</v>
      </c>
      <c r="P116" s="173">
        <v>46.21</v>
      </c>
      <c r="Q116" s="173">
        <v>0.78</v>
      </c>
      <c r="R116" s="173">
        <v>2E-3</v>
      </c>
      <c r="S116" s="173">
        <v>8.4700000000000006</v>
      </c>
      <c r="T116" s="173">
        <v>0.86</v>
      </c>
    </row>
    <row r="117" spans="2:20" x14ac:dyDescent="0.3">
      <c r="B117" s="173">
        <v>377</v>
      </c>
      <c r="C117" s="359" t="s">
        <v>149</v>
      </c>
      <c r="D117" s="359"/>
      <c r="E117" s="173" t="s">
        <v>151</v>
      </c>
      <c r="F117" s="173">
        <v>0.26</v>
      </c>
      <c r="G117" s="173">
        <v>0.06</v>
      </c>
      <c r="H117" s="173">
        <v>15.22</v>
      </c>
      <c r="I117" s="173">
        <v>62.5</v>
      </c>
      <c r="J117" s="173"/>
      <c r="K117" s="173">
        <v>0.01</v>
      </c>
      <c r="L117" s="173">
        <v>2.9</v>
      </c>
      <c r="M117" s="173">
        <v>0</v>
      </c>
      <c r="N117" s="173">
        <v>0.06</v>
      </c>
      <c r="O117" s="173">
        <v>8.0500000000000007</v>
      </c>
      <c r="P117" s="173">
        <v>9.7799999999999994</v>
      </c>
      <c r="Q117" s="173">
        <v>1.7000000000000001E-2</v>
      </c>
      <c r="R117" s="173">
        <v>0</v>
      </c>
      <c r="S117" s="173">
        <v>5.24</v>
      </c>
      <c r="T117" s="173">
        <v>0.87</v>
      </c>
    </row>
    <row r="118" spans="2:20" x14ac:dyDescent="0.3">
      <c r="B118" s="173" t="s">
        <v>224</v>
      </c>
      <c r="C118" s="359" t="s">
        <v>161</v>
      </c>
      <c r="D118" s="359"/>
      <c r="E118" s="173">
        <v>40</v>
      </c>
      <c r="F118" s="173">
        <v>3.04</v>
      </c>
      <c r="G118" s="173">
        <v>0.32</v>
      </c>
      <c r="H118" s="173">
        <v>19.68</v>
      </c>
      <c r="I118" s="173">
        <v>93.8</v>
      </c>
      <c r="J118" s="173">
        <v>0.04</v>
      </c>
      <c r="K118" s="173">
        <v>0.01</v>
      </c>
      <c r="L118" s="173">
        <v>0.88</v>
      </c>
      <c r="M118" s="173">
        <v>0</v>
      </c>
      <c r="N118" s="173">
        <v>0.7</v>
      </c>
      <c r="O118" s="173">
        <v>8</v>
      </c>
      <c r="P118" s="173">
        <v>26</v>
      </c>
      <c r="Q118" s="173">
        <v>8.0000000000000002E-3</v>
      </c>
      <c r="R118" s="173">
        <v>3.0000000000000001E-3</v>
      </c>
      <c r="S118" s="173">
        <v>0</v>
      </c>
      <c r="T118" s="173">
        <v>0.44</v>
      </c>
    </row>
    <row r="119" spans="2:20" ht="17.25" customHeight="1" x14ac:dyDescent="0.3">
      <c r="B119" s="193" t="s">
        <v>251</v>
      </c>
      <c r="C119" s="194"/>
      <c r="D119" s="195"/>
      <c r="E119" s="189">
        <f>E114+E115+E116+E118+204</f>
        <v>584</v>
      </c>
      <c r="F119" s="189">
        <f>SUM(F114:F118)</f>
        <v>20.515000000000001</v>
      </c>
      <c r="G119" s="189">
        <f>SUM(G114:G118)</f>
        <v>16.891000000000002</v>
      </c>
      <c r="H119" s="189">
        <f t="shared" ref="H119:T119" si="23">SUM(H114:H118)</f>
        <v>75.259</v>
      </c>
      <c r="I119" s="189">
        <f t="shared" si="23"/>
        <v>534.65</v>
      </c>
      <c r="J119" s="189">
        <f t="shared" si="23"/>
        <v>0.23300000000000001</v>
      </c>
      <c r="K119" s="189">
        <f t="shared" si="23"/>
        <v>0.16900000000000004</v>
      </c>
      <c r="L119" s="189">
        <f t="shared" si="23"/>
        <v>13.343</v>
      </c>
      <c r="M119" s="189">
        <f t="shared" si="23"/>
        <v>1.381</v>
      </c>
      <c r="N119" s="189">
        <f t="shared" si="23"/>
        <v>4.2350000000000003</v>
      </c>
      <c r="O119" s="189">
        <f t="shared" si="23"/>
        <v>75.798000000000002</v>
      </c>
      <c r="P119" s="189">
        <f t="shared" si="23"/>
        <v>200.261</v>
      </c>
      <c r="Q119" s="189">
        <f t="shared" si="23"/>
        <v>0.83500000000000008</v>
      </c>
      <c r="R119" s="189">
        <f t="shared" si="23"/>
        <v>5.0000000000000001E-3</v>
      </c>
      <c r="S119" s="189">
        <f t="shared" si="23"/>
        <v>47.336999999999996</v>
      </c>
      <c r="T119" s="189">
        <f t="shared" si="23"/>
        <v>6.36</v>
      </c>
    </row>
    <row r="120" spans="2:20" x14ac:dyDescent="0.3">
      <c r="B120" s="360" t="s">
        <v>226</v>
      </c>
      <c r="C120" s="360"/>
      <c r="D120" s="360"/>
      <c r="E120" s="360"/>
      <c r="F120" s="190">
        <f t="shared" ref="F120:T120" si="24">F119/F137</f>
        <v>0.26642857142857146</v>
      </c>
      <c r="G120" s="190">
        <f t="shared" si="24"/>
        <v>0.21381012658227849</v>
      </c>
      <c r="H120" s="190">
        <f t="shared" si="24"/>
        <v>0.22465373134328359</v>
      </c>
      <c r="I120" s="190">
        <f t="shared" si="24"/>
        <v>0.22751063829787233</v>
      </c>
      <c r="J120" s="190">
        <f t="shared" si="24"/>
        <v>0.19416666666666668</v>
      </c>
      <c r="K120" s="190">
        <f t="shared" si="24"/>
        <v>0.12071428571428575</v>
      </c>
      <c r="L120" s="190">
        <f t="shared" si="24"/>
        <v>0.22238333333333332</v>
      </c>
      <c r="M120" s="190">
        <f t="shared" si="24"/>
        <v>1.9728571428571431</v>
      </c>
      <c r="N120" s="190">
        <f t="shared" si="24"/>
        <v>0.42350000000000004</v>
      </c>
      <c r="O120" s="190">
        <f t="shared" si="24"/>
        <v>6.8907272727272734E-2</v>
      </c>
      <c r="P120" s="190">
        <f t="shared" si="24"/>
        <v>0.18205545454545455</v>
      </c>
      <c r="Q120" s="190">
        <f t="shared" si="24"/>
        <v>8.3500000000000005E-2</v>
      </c>
      <c r="R120" s="190">
        <f t="shared" si="24"/>
        <v>4.9999999999999996E-2</v>
      </c>
      <c r="S120" s="190">
        <f t="shared" si="24"/>
        <v>0.18934799999999999</v>
      </c>
      <c r="T120" s="190">
        <f t="shared" si="24"/>
        <v>0.53</v>
      </c>
    </row>
    <row r="121" spans="2:20" x14ac:dyDescent="0.3">
      <c r="B121" s="360" t="s">
        <v>227</v>
      </c>
      <c r="C121" s="360"/>
      <c r="D121" s="360"/>
      <c r="E121" s="360"/>
      <c r="F121" s="360"/>
      <c r="G121" s="360"/>
      <c r="H121" s="360"/>
      <c r="I121" s="360"/>
      <c r="J121" s="360"/>
      <c r="K121" s="360"/>
      <c r="L121" s="360"/>
      <c r="M121" s="360"/>
      <c r="N121" s="360"/>
      <c r="O121" s="360"/>
      <c r="P121" s="360"/>
      <c r="Q121" s="360"/>
      <c r="R121" s="360"/>
      <c r="S121" s="360"/>
      <c r="T121" s="360"/>
    </row>
    <row r="122" spans="2:20" s="196" customFormat="1" ht="18" customHeight="1" x14ac:dyDescent="0.3">
      <c r="B122" s="173">
        <v>115</v>
      </c>
      <c r="C122" s="359" t="s">
        <v>279</v>
      </c>
      <c r="D122" s="359"/>
      <c r="E122" s="173">
        <v>60</v>
      </c>
      <c r="F122" s="173">
        <v>1.1399999999999999</v>
      </c>
      <c r="G122" s="173">
        <v>5.34</v>
      </c>
      <c r="H122" s="173">
        <v>4.62</v>
      </c>
      <c r="I122" s="173">
        <v>71.400000000000006</v>
      </c>
      <c r="J122" s="173">
        <v>0.01</v>
      </c>
      <c r="K122" s="173">
        <v>0</v>
      </c>
      <c r="L122" s="173">
        <v>4.2</v>
      </c>
      <c r="M122" s="173">
        <v>0.01</v>
      </c>
      <c r="N122" s="173"/>
      <c r="O122" s="173">
        <v>24.6</v>
      </c>
      <c r="P122" s="173">
        <v>22.2</v>
      </c>
      <c r="Q122" s="173"/>
      <c r="R122" s="173">
        <v>0</v>
      </c>
      <c r="S122" s="173">
        <v>9</v>
      </c>
      <c r="T122" s="173">
        <v>0.42</v>
      </c>
    </row>
    <row r="123" spans="2:20" ht="27" customHeight="1" x14ac:dyDescent="0.3">
      <c r="B123" s="173">
        <v>96</v>
      </c>
      <c r="C123" s="359" t="s">
        <v>280</v>
      </c>
      <c r="D123" s="359"/>
      <c r="E123" s="173">
        <v>200</v>
      </c>
      <c r="F123" s="173">
        <v>2.1</v>
      </c>
      <c r="G123" s="173">
        <v>4.9000000000000004</v>
      </c>
      <c r="H123" s="173">
        <v>13.6</v>
      </c>
      <c r="I123" s="173">
        <v>107</v>
      </c>
      <c r="J123" s="173">
        <v>0.1</v>
      </c>
      <c r="K123" s="173">
        <v>5.8999999999999997E-2</v>
      </c>
      <c r="L123" s="173">
        <v>12.8</v>
      </c>
      <c r="M123" s="173">
        <v>0.03</v>
      </c>
      <c r="N123" s="173">
        <v>0</v>
      </c>
      <c r="O123" s="173">
        <v>20.2</v>
      </c>
      <c r="P123" s="173">
        <v>56.8</v>
      </c>
      <c r="Q123" s="173">
        <v>0</v>
      </c>
      <c r="R123" s="173">
        <v>0</v>
      </c>
      <c r="S123" s="173">
        <v>21.4</v>
      </c>
      <c r="T123" s="173">
        <v>0.76</v>
      </c>
    </row>
    <row r="124" spans="2:20" ht="18.75" customHeight="1" x14ac:dyDescent="0.3">
      <c r="B124" s="173">
        <v>266</v>
      </c>
      <c r="C124" s="359" t="s">
        <v>281</v>
      </c>
      <c r="D124" s="359"/>
      <c r="E124" s="173">
        <v>90</v>
      </c>
      <c r="F124" s="173">
        <v>16.7</v>
      </c>
      <c r="G124" s="173">
        <v>23.3</v>
      </c>
      <c r="H124" s="173">
        <v>4.3</v>
      </c>
      <c r="I124" s="173">
        <v>293.39999999999998</v>
      </c>
      <c r="J124" s="173">
        <v>0.2</v>
      </c>
      <c r="K124" s="173">
        <v>0.23599999999999999</v>
      </c>
      <c r="L124" s="173">
        <v>0.5</v>
      </c>
      <c r="M124" s="173">
        <v>0.05</v>
      </c>
      <c r="N124" s="173">
        <v>6.7500000000000004E-2</v>
      </c>
      <c r="O124" s="173">
        <v>54.5</v>
      </c>
      <c r="P124" s="173">
        <v>200.1</v>
      </c>
      <c r="Q124" s="173">
        <v>2.57</v>
      </c>
      <c r="R124" s="173">
        <v>4.4999999999999998E-2</v>
      </c>
      <c r="S124" s="173">
        <v>27.5</v>
      </c>
      <c r="T124" s="173">
        <v>2.17</v>
      </c>
    </row>
    <row r="125" spans="2:20" ht="25.5" customHeight="1" x14ac:dyDescent="0.3">
      <c r="B125" s="173">
        <v>312</v>
      </c>
      <c r="C125" s="359" t="s">
        <v>256</v>
      </c>
      <c r="D125" s="359"/>
      <c r="E125" s="173">
        <v>150</v>
      </c>
      <c r="F125" s="173">
        <v>3.29</v>
      </c>
      <c r="G125" s="173">
        <v>7.06</v>
      </c>
      <c r="H125" s="173">
        <v>22.21</v>
      </c>
      <c r="I125" s="173">
        <v>165.54</v>
      </c>
      <c r="J125" s="173">
        <v>0.16</v>
      </c>
      <c r="K125" s="173">
        <v>0.13</v>
      </c>
      <c r="L125" s="173">
        <v>26.11</v>
      </c>
      <c r="M125" s="173">
        <v>0.08</v>
      </c>
      <c r="N125" s="173">
        <v>1.5</v>
      </c>
      <c r="O125" s="173">
        <v>42.54</v>
      </c>
      <c r="P125" s="173">
        <v>97.8</v>
      </c>
      <c r="Q125" s="173">
        <v>0.29899999999999999</v>
      </c>
      <c r="R125" s="173">
        <v>1E-3</v>
      </c>
      <c r="S125" s="173">
        <v>33.06</v>
      </c>
      <c r="T125" s="173">
        <v>1.19</v>
      </c>
    </row>
    <row r="126" spans="2:20" ht="28.5" customHeight="1" x14ac:dyDescent="0.3">
      <c r="B126" s="173">
        <v>349</v>
      </c>
      <c r="C126" s="359" t="s">
        <v>239</v>
      </c>
      <c r="D126" s="359"/>
      <c r="E126" s="173">
        <v>200</v>
      </c>
      <c r="F126" s="173">
        <v>0.22</v>
      </c>
      <c r="G126" s="173"/>
      <c r="H126" s="173">
        <v>24.42</v>
      </c>
      <c r="I126" s="173">
        <v>98.56</v>
      </c>
      <c r="J126" s="173"/>
      <c r="K126" s="173"/>
      <c r="L126" s="173">
        <v>0.2</v>
      </c>
      <c r="M126" s="173"/>
      <c r="N126" s="173"/>
      <c r="O126" s="173">
        <v>22.6</v>
      </c>
      <c r="P126" s="173">
        <v>7.7</v>
      </c>
      <c r="Q126" s="173">
        <v>0</v>
      </c>
      <c r="R126" s="173">
        <v>0</v>
      </c>
      <c r="S126" s="173">
        <v>3</v>
      </c>
      <c r="T126" s="173">
        <v>0.66</v>
      </c>
    </row>
    <row r="127" spans="2:20" ht="18.75" customHeight="1" x14ac:dyDescent="0.3">
      <c r="B127" s="173" t="s">
        <v>224</v>
      </c>
      <c r="C127" s="359" t="s">
        <v>235</v>
      </c>
      <c r="D127" s="359"/>
      <c r="E127" s="173">
        <v>40</v>
      </c>
      <c r="F127" s="173">
        <v>2.64</v>
      </c>
      <c r="G127" s="173">
        <v>0.48</v>
      </c>
      <c r="H127" s="173">
        <v>13.68</v>
      </c>
      <c r="I127" s="173">
        <v>69.599999999999994</v>
      </c>
      <c r="J127" s="173">
        <v>0.08</v>
      </c>
      <c r="K127" s="173">
        <v>0.04</v>
      </c>
      <c r="L127" s="173">
        <v>0</v>
      </c>
      <c r="M127" s="173">
        <v>0</v>
      </c>
      <c r="N127" s="173">
        <v>2.4</v>
      </c>
      <c r="O127" s="173">
        <v>14</v>
      </c>
      <c r="P127" s="173">
        <v>63.2</v>
      </c>
      <c r="Q127" s="173">
        <v>1.2</v>
      </c>
      <c r="R127" s="173">
        <v>1E-3</v>
      </c>
      <c r="S127" s="173">
        <v>9.4</v>
      </c>
      <c r="T127" s="173">
        <v>0.78</v>
      </c>
    </row>
    <row r="128" spans="2:20" x14ac:dyDescent="0.3">
      <c r="B128" s="173" t="s">
        <v>224</v>
      </c>
      <c r="C128" s="359" t="s">
        <v>117</v>
      </c>
      <c r="D128" s="359"/>
      <c r="E128" s="173">
        <v>30</v>
      </c>
      <c r="F128" s="173">
        <v>1.52</v>
      </c>
      <c r="G128" s="173">
        <v>0.16</v>
      </c>
      <c r="H128" s="173">
        <v>9.84</v>
      </c>
      <c r="I128" s="173">
        <v>46.9</v>
      </c>
      <c r="J128" s="173">
        <v>0.02</v>
      </c>
      <c r="K128" s="173">
        <v>0.01</v>
      </c>
      <c r="L128" s="173">
        <v>0.44</v>
      </c>
      <c r="M128" s="173">
        <v>0</v>
      </c>
      <c r="N128" s="173">
        <v>0.7</v>
      </c>
      <c r="O128" s="173">
        <v>4</v>
      </c>
      <c r="P128" s="173">
        <v>13</v>
      </c>
      <c r="Q128" s="173">
        <v>8.0000000000000002E-3</v>
      </c>
      <c r="R128" s="173">
        <v>1E-3</v>
      </c>
      <c r="S128" s="173">
        <v>0</v>
      </c>
      <c r="T128" s="173">
        <v>0.22</v>
      </c>
    </row>
    <row r="129" spans="2:20" ht="25.5" customHeight="1" x14ac:dyDescent="0.3">
      <c r="B129" s="360" t="s">
        <v>236</v>
      </c>
      <c r="C129" s="360"/>
      <c r="D129" s="360"/>
      <c r="E129" s="189">
        <f>SUM(E122:E128)</f>
        <v>770</v>
      </c>
      <c r="F129" s="189">
        <f>SUM(F122:F128)</f>
        <v>27.609999999999996</v>
      </c>
      <c r="G129" s="189">
        <f t="shared" ref="G129:T129" si="25">SUM(G122:G128)</f>
        <v>41.239999999999995</v>
      </c>
      <c r="H129" s="189">
        <f t="shared" si="25"/>
        <v>92.670000000000016</v>
      </c>
      <c r="I129" s="189">
        <f t="shared" si="25"/>
        <v>852.39999999999986</v>
      </c>
      <c r="J129" s="189">
        <f t="shared" si="25"/>
        <v>0.56999999999999995</v>
      </c>
      <c r="K129" s="189">
        <f t="shared" si="25"/>
        <v>0.47499999999999998</v>
      </c>
      <c r="L129" s="189">
        <f t="shared" si="25"/>
        <v>44.25</v>
      </c>
      <c r="M129" s="189">
        <f t="shared" si="25"/>
        <v>0.16999999999999998</v>
      </c>
      <c r="N129" s="189">
        <f t="shared" si="25"/>
        <v>4.6674999999999995</v>
      </c>
      <c r="O129" s="189">
        <f t="shared" si="25"/>
        <v>182.44</v>
      </c>
      <c r="P129" s="189">
        <f t="shared" si="25"/>
        <v>460.8</v>
      </c>
      <c r="Q129" s="189">
        <f t="shared" si="25"/>
        <v>4.077</v>
      </c>
      <c r="R129" s="189">
        <f t="shared" si="25"/>
        <v>4.8000000000000001E-2</v>
      </c>
      <c r="S129" s="189">
        <f t="shared" si="25"/>
        <v>103.36000000000001</v>
      </c>
      <c r="T129" s="189">
        <f t="shared" si="25"/>
        <v>6.1999999999999993</v>
      </c>
    </row>
    <row r="130" spans="2:20" x14ac:dyDescent="0.3">
      <c r="B130" s="360" t="s">
        <v>226</v>
      </c>
      <c r="C130" s="360"/>
      <c r="D130" s="360"/>
      <c r="E130" s="360"/>
      <c r="F130" s="190">
        <f t="shared" ref="F130:T130" si="26">F129/F137</f>
        <v>0.35857142857142854</v>
      </c>
      <c r="G130" s="190">
        <f t="shared" si="26"/>
        <v>0.52202531645569616</v>
      </c>
      <c r="H130" s="190">
        <f t="shared" si="26"/>
        <v>0.27662686567164185</v>
      </c>
      <c r="I130" s="190">
        <f t="shared" si="26"/>
        <v>0.36272340425531907</v>
      </c>
      <c r="J130" s="190">
        <f t="shared" si="26"/>
        <v>0.47499999999999998</v>
      </c>
      <c r="K130" s="190">
        <f t="shared" si="26"/>
        <v>0.3392857142857143</v>
      </c>
      <c r="L130" s="190">
        <f t="shared" si="26"/>
        <v>0.73750000000000004</v>
      </c>
      <c r="M130" s="190">
        <f t="shared" si="26"/>
        <v>0.24285714285714285</v>
      </c>
      <c r="N130" s="190">
        <f t="shared" si="26"/>
        <v>0.46674999999999994</v>
      </c>
      <c r="O130" s="190">
        <f t="shared" si="26"/>
        <v>0.16585454545454545</v>
      </c>
      <c r="P130" s="190">
        <f t="shared" si="26"/>
        <v>0.4189090909090909</v>
      </c>
      <c r="Q130" s="190">
        <f t="shared" si="26"/>
        <v>0.40770000000000001</v>
      </c>
      <c r="R130" s="190">
        <f t="shared" si="26"/>
        <v>0.48</v>
      </c>
      <c r="S130" s="190">
        <f t="shared" si="26"/>
        <v>0.41344000000000003</v>
      </c>
      <c r="T130" s="190">
        <f t="shared" si="26"/>
        <v>0.51666666666666661</v>
      </c>
    </row>
    <row r="131" spans="2:20" x14ac:dyDescent="0.3">
      <c r="B131" s="360" t="s">
        <v>237</v>
      </c>
      <c r="C131" s="360"/>
      <c r="D131" s="360"/>
      <c r="E131" s="360"/>
      <c r="F131" s="360"/>
      <c r="G131" s="360"/>
      <c r="H131" s="360"/>
      <c r="I131" s="360"/>
      <c r="J131" s="360"/>
      <c r="K131" s="360"/>
      <c r="L131" s="360"/>
      <c r="M131" s="360"/>
      <c r="N131" s="360"/>
      <c r="O131" s="360"/>
      <c r="P131" s="360"/>
      <c r="Q131" s="360"/>
      <c r="R131" s="360"/>
      <c r="S131" s="360"/>
      <c r="T131" s="360"/>
    </row>
    <row r="132" spans="2:20" x14ac:dyDescent="0.3">
      <c r="B132" s="177" t="s">
        <v>224</v>
      </c>
      <c r="C132" s="352" t="s">
        <v>282</v>
      </c>
      <c r="D132" s="352"/>
      <c r="E132" s="177">
        <v>65</v>
      </c>
      <c r="F132" s="177">
        <v>4.16</v>
      </c>
      <c r="G132" s="177">
        <v>8.14</v>
      </c>
      <c r="H132" s="177">
        <v>33.799999999999997</v>
      </c>
      <c r="I132" s="177">
        <v>225.34</v>
      </c>
      <c r="J132" s="177">
        <v>0.06</v>
      </c>
      <c r="K132" s="177">
        <v>0.05</v>
      </c>
      <c r="L132" s="177">
        <v>0</v>
      </c>
      <c r="M132" s="177">
        <v>0.06</v>
      </c>
      <c r="N132" s="177"/>
      <c r="O132" s="177">
        <v>11.26</v>
      </c>
      <c r="P132" s="177">
        <v>0</v>
      </c>
      <c r="Q132" s="177"/>
      <c r="R132" s="177">
        <v>0</v>
      </c>
      <c r="S132" s="177">
        <v>0</v>
      </c>
      <c r="T132" s="177">
        <v>0.6</v>
      </c>
    </row>
    <row r="133" spans="2:20" ht="19.5" customHeight="1" x14ac:dyDescent="0.3">
      <c r="B133" s="173">
        <v>389</v>
      </c>
      <c r="C133" s="359" t="s">
        <v>283</v>
      </c>
      <c r="D133" s="359"/>
      <c r="E133" s="173">
        <v>200</v>
      </c>
      <c r="F133" s="173">
        <v>1</v>
      </c>
      <c r="G133" s="173">
        <v>0.2</v>
      </c>
      <c r="H133" s="173">
        <v>20.2</v>
      </c>
      <c r="I133" s="173">
        <v>87</v>
      </c>
      <c r="J133" s="173">
        <v>0</v>
      </c>
      <c r="K133" s="173">
        <v>0.08</v>
      </c>
      <c r="L133" s="173">
        <v>4</v>
      </c>
      <c r="M133" s="173">
        <v>0</v>
      </c>
      <c r="N133" s="173">
        <v>0</v>
      </c>
      <c r="O133" s="173">
        <v>31.1</v>
      </c>
      <c r="P133" s="173">
        <v>18</v>
      </c>
      <c r="Q133" s="173">
        <v>0</v>
      </c>
      <c r="R133" s="173">
        <v>0</v>
      </c>
      <c r="S133" s="173">
        <v>8</v>
      </c>
      <c r="T133" s="173">
        <v>0.72</v>
      </c>
    </row>
    <row r="134" spans="2:20" ht="25.5" customHeight="1" x14ac:dyDescent="0.3">
      <c r="B134" s="356" t="s">
        <v>240</v>
      </c>
      <c r="C134" s="357"/>
      <c r="D134" s="358"/>
      <c r="E134" s="178">
        <f>E132+E133</f>
        <v>265</v>
      </c>
      <c r="F134" s="178">
        <f>F132+F133</f>
        <v>5.16</v>
      </c>
      <c r="G134" s="178">
        <f t="shared" ref="G134:T134" si="27">G132+G133</f>
        <v>8.34</v>
      </c>
      <c r="H134" s="178">
        <f t="shared" si="27"/>
        <v>54</v>
      </c>
      <c r="I134" s="178">
        <f t="shared" si="27"/>
        <v>312.34000000000003</v>
      </c>
      <c r="J134" s="178">
        <f t="shared" si="27"/>
        <v>0.06</v>
      </c>
      <c r="K134" s="178">
        <f t="shared" si="27"/>
        <v>0.13</v>
      </c>
      <c r="L134" s="178">
        <f t="shared" si="27"/>
        <v>4</v>
      </c>
      <c r="M134" s="178">
        <f t="shared" si="27"/>
        <v>0.06</v>
      </c>
      <c r="N134" s="178">
        <f t="shared" si="27"/>
        <v>0</v>
      </c>
      <c r="O134" s="178">
        <f t="shared" si="27"/>
        <v>42.36</v>
      </c>
      <c r="P134" s="178">
        <f t="shared" si="27"/>
        <v>18</v>
      </c>
      <c r="Q134" s="178">
        <f t="shared" si="27"/>
        <v>0</v>
      </c>
      <c r="R134" s="178">
        <f t="shared" si="27"/>
        <v>0</v>
      </c>
      <c r="S134" s="178">
        <f t="shared" si="27"/>
        <v>8</v>
      </c>
      <c r="T134" s="178">
        <f t="shared" si="27"/>
        <v>1.3199999999999998</v>
      </c>
    </row>
    <row r="135" spans="2:20" ht="15" customHeight="1" x14ac:dyDescent="0.3">
      <c r="B135" s="350" t="s">
        <v>226</v>
      </c>
      <c r="C135" s="350"/>
      <c r="D135" s="350"/>
      <c r="E135" s="350"/>
      <c r="F135" s="179">
        <f>F134/F137</f>
        <v>6.701298701298701E-2</v>
      </c>
      <c r="G135" s="179">
        <f t="shared" ref="G135:T135" si="28">G134/G137</f>
        <v>0.10556962025316456</v>
      </c>
      <c r="H135" s="179">
        <f t="shared" si="28"/>
        <v>0.16119402985074627</v>
      </c>
      <c r="I135" s="179">
        <f t="shared" si="28"/>
        <v>0.13291063829787236</v>
      </c>
      <c r="J135" s="179">
        <f t="shared" si="28"/>
        <v>0.05</v>
      </c>
      <c r="K135" s="179">
        <f t="shared" si="28"/>
        <v>9.285714285714286E-2</v>
      </c>
      <c r="L135" s="179">
        <f t="shared" si="28"/>
        <v>6.6666666666666666E-2</v>
      </c>
      <c r="M135" s="179">
        <f t="shared" si="28"/>
        <v>8.5714285714285715E-2</v>
      </c>
      <c r="N135" s="179">
        <f t="shared" si="28"/>
        <v>0</v>
      </c>
      <c r="O135" s="179">
        <f t="shared" si="28"/>
        <v>3.8509090909090909E-2</v>
      </c>
      <c r="P135" s="179">
        <f t="shared" si="28"/>
        <v>1.6363636363636365E-2</v>
      </c>
      <c r="Q135" s="179">
        <f t="shared" si="28"/>
        <v>0</v>
      </c>
      <c r="R135" s="179">
        <f t="shared" si="28"/>
        <v>0</v>
      </c>
      <c r="S135" s="179">
        <f t="shared" si="28"/>
        <v>3.2000000000000001E-2</v>
      </c>
      <c r="T135" s="179">
        <f t="shared" si="28"/>
        <v>0.10999999999999999</v>
      </c>
    </row>
    <row r="136" spans="2:20" x14ac:dyDescent="0.3">
      <c r="B136" s="360" t="s">
        <v>241</v>
      </c>
      <c r="C136" s="360"/>
      <c r="D136" s="360"/>
      <c r="E136" s="360"/>
      <c r="F136" s="189">
        <f>F134+F129+F119</f>
        <v>53.284999999999997</v>
      </c>
      <c r="G136" s="189">
        <f t="shared" ref="G136:T136" si="29">G134+G129+G119</f>
        <v>66.471000000000004</v>
      </c>
      <c r="H136" s="189">
        <f t="shared" si="29"/>
        <v>221.92900000000003</v>
      </c>
      <c r="I136" s="189">
        <f t="shared" si="29"/>
        <v>1699.3899999999999</v>
      </c>
      <c r="J136" s="189">
        <f t="shared" si="29"/>
        <v>0.86299999999999988</v>
      </c>
      <c r="K136" s="189">
        <f t="shared" si="29"/>
        <v>0.77400000000000002</v>
      </c>
      <c r="L136" s="189">
        <f t="shared" si="29"/>
        <v>61.593000000000004</v>
      </c>
      <c r="M136" s="189">
        <f t="shared" si="29"/>
        <v>1.611</v>
      </c>
      <c r="N136" s="189">
        <f t="shared" si="29"/>
        <v>8.9024999999999999</v>
      </c>
      <c r="O136" s="189">
        <f t="shared" si="29"/>
        <v>300.59800000000001</v>
      </c>
      <c r="P136" s="189">
        <f t="shared" si="29"/>
        <v>679.06100000000004</v>
      </c>
      <c r="Q136" s="189">
        <f t="shared" si="29"/>
        <v>4.9119999999999999</v>
      </c>
      <c r="R136" s="189">
        <f t="shared" si="29"/>
        <v>5.2999999999999999E-2</v>
      </c>
      <c r="S136" s="189">
        <f t="shared" si="29"/>
        <v>158.697</v>
      </c>
      <c r="T136" s="189">
        <f t="shared" si="29"/>
        <v>13.879999999999999</v>
      </c>
    </row>
    <row r="137" spans="2:20" x14ac:dyDescent="0.3">
      <c r="B137" s="360" t="s">
        <v>242</v>
      </c>
      <c r="C137" s="360"/>
      <c r="D137" s="360"/>
      <c r="E137" s="360"/>
      <c r="F137" s="173">
        <v>77</v>
      </c>
      <c r="G137" s="173">
        <v>79</v>
      </c>
      <c r="H137" s="173">
        <v>335</v>
      </c>
      <c r="I137" s="173">
        <v>2350</v>
      </c>
      <c r="J137" s="173">
        <v>1.2</v>
      </c>
      <c r="K137" s="173">
        <v>1.4</v>
      </c>
      <c r="L137" s="173">
        <v>60</v>
      </c>
      <c r="M137" s="173">
        <v>0.7</v>
      </c>
      <c r="N137" s="173">
        <v>10</v>
      </c>
      <c r="O137" s="173">
        <v>1100</v>
      </c>
      <c r="P137" s="173">
        <v>1100</v>
      </c>
      <c r="Q137" s="173">
        <v>10</v>
      </c>
      <c r="R137" s="173">
        <v>0.1</v>
      </c>
      <c r="S137" s="173">
        <v>250</v>
      </c>
      <c r="T137" s="173">
        <v>12</v>
      </c>
    </row>
    <row r="138" spans="2:20" x14ac:dyDescent="0.3">
      <c r="B138" s="360" t="s">
        <v>226</v>
      </c>
      <c r="C138" s="360"/>
      <c r="D138" s="360"/>
      <c r="E138" s="360"/>
      <c r="F138" s="190">
        <f>F136/F137</f>
        <v>0.69201298701298697</v>
      </c>
      <c r="G138" s="190">
        <f t="shared" ref="G138:T138" si="30">G136/G137</f>
        <v>0.84140506329113929</v>
      </c>
      <c r="H138" s="190">
        <f t="shared" si="30"/>
        <v>0.66247462686567171</v>
      </c>
      <c r="I138" s="190">
        <f t="shared" si="30"/>
        <v>0.72314468085106376</v>
      </c>
      <c r="J138" s="190">
        <f t="shared" si="30"/>
        <v>0.71916666666666662</v>
      </c>
      <c r="K138" s="190">
        <f t="shared" si="30"/>
        <v>0.55285714285714294</v>
      </c>
      <c r="L138" s="190">
        <f t="shared" si="30"/>
        <v>1.0265500000000001</v>
      </c>
      <c r="M138" s="190">
        <f t="shared" si="30"/>
        <v>2.3014285714285716</v>
      </c>
      <c r="N138" s="190">
        <f t="shared" si="30"/>
        <v>0.89024999999999999</v>
      </c>
      <c r="O138" s="190">
        <f t="shared" si="30"/>
        <v>0.27327090909090912</v>
      </c>
      <c r="P138" s="190">
        <f t="shared" si="30"/>
        <v>0.61732818181818183</v>
      </c>
      <c r="Q138" s="190">
        <f t="shared" si="30"/>
        <v>0.49119999999999997</v>
      </c>
      <c r="R138" s="190">
        <f t="shared" si="30"/>
        <v>0.52999999999999992</v>
      </c>
      <c r="S138" s="190">
        <f t="shared" si="30"/>
        <v>0.63478800000000002</v>
      </c>
      <c r="T138" s="190">
        <f t="shared" si="30"/>
        <v>1.1566666666666665</v>
      </c>
    </row>
    <row r="139" spans="2:20" x14ac:dyDescent="0.3">
      <c r="B139" s="172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363" t="s">
        <v>187</v>
      </c>
      <c r="N139" s="363"/>
      <c r="O139" s="363"/>
      <c r="P139" s="363"/>
      <c r="Q139" s="363"/>
      <c r="R139" s="363"/>
      <c r="S139" s="363"/>
      <c r="T139" s="363"/>
    </row>
    <row r="140" spans="2:20" x14ac:dyDescent="0.3">
      <c r="B140" s="360" t="s">
        <v>284</v>
      </c>
      <c r="C140" s="360"/>
      <c r="D140" s="360"/>
      <c r="E140" s="360"/>
      <c r="F140" s="360"/>
      <c r="G140" s="360"/>
      <c r="H140" s="360"/>
      <c r="I140" s="360"/>
      <c r="J140" s="360"/>
      <c r="K140" s="360"/>
      <c r="L140" s="360"/>
      <c r="M140" s="360"/>
      <c r="N140" s="360"/>
      <c r="O140" s="360"/>
      <c r="P140" s="360"/>
      <c r="Q140" s="360"/>
      <c r="R140" s="360"/>
      <c r="S140" s="360"/>
      <c r="T140" s="360"/>
    </row>
    <row r="141" spans="2:20" x14ac:dyDescent="0.3">
      <c r="B141" s="360" t="s">
        <v>189</v>
      </c>
      <c r="C141" s="360"/>
      <c r="D141" s="173"/>
      <c r="E141" s="173"/>
      <c r="F141" s="173"/>
      <c r="G141" s="363" t="s">
        <v>285</v>
      </c>
      <c r="H141" s="363"/>
      <c r="I141" s="363"/>
      <c r="J141" s="173"/>
      <c r="K141" s="173"/>
      <c r="L141" s="360" t="s">
        <v>191</v>
      </c>
      <c r="M141" s="360"/>
      <c r="N141" s="363" t="s">
        <v>286</v>
      </c>
      <c r="O141" s="363"/>
      <c r="P141" s="363"/>
      <c r="Q141" s="363"/>
      <c r="R141" s="173"/>
      <c r="S141" s="173"/>
      <c r="T141" s="173"/>
    </row>
    <row r="142" spans="2:20" x14ac:dyDescent="0.3">
      <c r="B142" s="173"/>
      <c r="C142" s="173"/>
      <c r="D142" s="173"/>
      <c r="E142" s="360" t="s">
        <v>194</v>
      </c>
      <c r="F142" s="360"/>
      <c r="G142" s="173">
        <v>1</v>
      </c>
      <c r="H142" s="173"/>
      <c r="I142" s="173"/>
      <c r="J142" s="173"/>
      <c r="K142" s="173"/>
      <c r="L142" s="360" t="s">
        <v>195</v>
      </c>
      <c r="M142" s="360"/>
      <c r="N142" s="363" t="s">
        <v>196</v>
      </c>
      <c r="O142" s="363"/>
      <c r="P142" s="363"/>
      <c r="Q142" s="363"/>
      <c r="R142" s="363"/>
      <c r="S142" s="363"/>
      <c r="T142" s="363"/>
    </row>
    <row r="143" spans="2:20" x14ac:dyDescent="0.3">
      <c r="B143" s="174" t="s">
        <v>0</v>
      </c>
      <c r="C143" s="361" t="s">
        <v>198</v>
      </c>
      <c r="D143" s="361"/>
      <c r="E143" s="361" t="s">
        <v>199</v>
      </c>
      <c r="F143" s="361" t="s">
        <v>200</v>
      </c>
      <c r="G143" s="361"/>
      <c r="H143" s="361"/>
      <c r="I143" s="174" t="s">
        <v>201</v>
      </c>
      <c r="J143" s="361" t="s">
        <v>202</v>
      </c>
      <c r="K143" s="361"/>
      <c r="L143" s="361"/>
      <c r="M143" s="361"/>
      <c r="N143" s="361"/>
      <c r="O143" s="361" t="s">
        <v>203</v>
      </c>
      <c r="P143" s="361"/>
      <c r="Q143" s="361"/>
      <c r="R143" s="361"/>
      <c r="S143" s="361"/>
      <c r="T143" s="361"/>
    </row>
    <row r="144" spans="2:20" ht="52.8" x14ac:dyDescent="0.3">
      <c r="B144" s="174" t="s">
        <v>245</v>
      </c>
      <c r="C144" s="361"/>
      <c r="D144" s="361"/>
      <c r="E144" s="361"/>
      <c r="F144" s="174" t="s">
        <v>204</v>
      </c>
      <c r="G144" s="174" t="s">
        <v>205</v>
      </c>
      <c r="H144" s="174" t="s">
        <v>206</v>
      </c>
      <c r="I144" s="174" t="s">
        <v>207</v>
      </c>
      <c r="J144" s="174" t="s">
        <v>208</v>
      </c>
      <c r="K144" s="174" t="s">
        <v>209</v>
      </c>
      <c r="L144" s="174" t="s">
        <v>210</v>
      </c>
      <c r="M144" s="174" t="s">
        <v>211</v>
      </c>
      <c r="N144" s="174" t="s">
        <v>212</v>
      </c>
      <c r="O144" s="174" t="s">
        <v>213</v>
      </c>
      <c r="P144" s="174" t="s">
        <v>214</v>
      </c>
      <c r="Q144" s="174" t="s">
        <v>215</v>
      </c>
      <c r="R144" s="174" t="s">
        <v>216</v>
      </c>
      <c r="S144" s="174" t="s">
        <v>217</v>
      </c>
      <c r="T144" s="174" t="s">
        <v>218</v>
      </c>
    </row>
    <row r="145" spans="2:20" x14ac:dyDescent="0.3">
      <c r="B145" s="175">
        <v>1</v>
      </c>
      <c r="C145" s="362">
        <v>2</v>
      </c>
      <c r="D145" s="362"/>
      <c r="E145" s="175">
        <v>3</v>
      </c>
      <c r="F145" s="175">
        <v>4</v>
      </c>
      <c r="G145" s="175">
        <v>5</v>
      </c>
      <c r="H145" s="175">
        <v>6</v>
      </c>
      <c r="I145" s="175">
        <v>7</v>
      </c>
      <c r="J145" s="175">
        <v>8</v>
      </c>
      <c r="K145" s="175">
        <v>9</v>
      </c>
      <c r="L145" s="175">
        <v>10</v>
      </c>
      <c r="M145" s="175">
        <v>11</v>
      </c>
      <c r="N145" s="175">
        <v>12</v>
      </c>
      <c r="O145" s="175">
        <v>13</v>
      </c>
      <c r="P145" s="175">
        <v>14</v>
      </c>
      <c r="Q145" s="175">
        <v>15</v>
      </c>
      <c r="R145" s="175">
        <v>16</v>
      </c>
      <c r="S145" s="175">
        <v>17</v>
      </c>
      <c r="T145" s="175">
        <v>18</v>
      </c>
    </row>
    <row r="146" spans="2:20" x14ac:dyDescent="0.3">
      <c r="B146" s="360" t="s">
        <v>219</v>
      </c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</row>
    <row r="147" spans="2:20" s="394" customFormat="1" ht="30.75" customHeight="1" x14ac:dyDescent="0.3">
      <c r="B147" s="389" t="s">
        <v>340</v>
      </c>
      <c r="C147" s="390" t="s">
        <v>339</v>
      </c>
      <c r="D147" s="390"/>
      <c r="E147" s="391">
        <v>40</v>
      </c>
      <c r="F147" s="391">
        <v>1.1200000000000001</v>
      </c>
      <c r="G147" s="391">
        <v>0</v>
      </c>
      <c r="H147" s="391">
        <v>0.52</v>
      </c>
      <c r="I147" s="389">
        <v>6.44</v>
      </c>
      <c r="J147" s="391">
        <v>0</v>
      </c>
      <c r="K147" s="391">
        <v>0</v>
      </c>
      <c r="L147" s="391">
        <v>0</v>
      </c>
      <c r="M147" s="391">
        <v>0</v>
      </c>
      <c r="N147" s="391">
        <v>0</v>
      </c>
      <c r="O147" s="391">
        <v>0</v>
      </c>
      <c r="P147" s="391">
        <v>0</v>
      </c>
      <c r="Q147" s="391">
        <v>0</v>
      </c>
      <c r="R147" s="391">
        <v>0</v>
      </c>
      <c r="S147" s="391">
        <v>0</v>
      </c>
      <c r="T147" s="391">
        <v>0</v>
      </c>
    </row>
    <row r="148" spans="2:20" ht="27" customHeight="1" x14ac:dyDescent="0.3">
      <c r="B148" s="184">
        <v>71</v>
      </c>
      <c r="C148" s="352" t="s">
        <v>338</v>
      </c>
      <c r="D148" s="352"/>
      <c r="E148" s="184">
        <v>40</v>
      </c>
      <c r="F148" s="184">
        <v>0.33</v>
      </c>
      <c r="G148" s="184">
        <v>0.04</v>
      </c>
      <c r="H148" s="184">
        <v>1.1299999999999999</v>
      </c>
      <c r="I148" s="184">
        <v>6.23</v>
      </c>
      <c r="J148" s="184">
        <v>8.9999999999999993E-3</v>
      </c>
      <c r="K148" s="184">
        <v>0.01</v>
      </c>
      <c r="L148" s="184">
        <v>3</v>
      </c>
      <c r="M148" s="184">
        <v>3.0000000000000001E-3</v>
      </c>
      <c r="N148" s="184">
        <v>0.03</v>
      </c>
      <c r="O148" s="184">
        <v>6.9</v>
      </c>
      <c r="P148" s="184">
        <v>12.6</v>
      </c>
      <c r="Q148" s="184">
        <v>6.4000000000000001E-2</v>
      </c>
      <c r="R148" s="184">
        <v>1E-3</v>
      </c>
      <c r="S148" s="184">
        <v>4.2</v>
      </c>
      <c r="T148" s="184">
        <v>0.18</v>
      </c>
    </row>
    <row r="149" spans="2:20" s="394" customFormat="1" ht="25.5" customHeight="1" x14ac:dyDescent="0.3">
      <c r="B149" s="395">
        <v>210</v>
      </c>
      <c r="C149" s="396" t="s">
        <v>287</v>
      </c>
      <c r="D149" s="396"/>
      <c r="E149" s="395">
        <v>200</v>
      </c>
      <c r="F149" s="395">
        <v>18.579999999999998</v>
      </c>
      <c r="G149" s="395">
        <v>33.1</v>
      </c>
      <c r="H149" s="395">
        <v>3.52</v>
      </c>
      <c r="I149" s="395">
        <v>386.2</v>
      </c>
      <c r="J149" s="395">
        <v>0.14000000000000001</v>
      </c>
      <c r="K149" s="395">
        <v>0.68</v>
      </c>
      <c r="L149" s="395">
        <v>0.34</v>
      </c>
      <c r="M149" s="395">
        <v>0.14000000000000001</v>
      </c>
      <c r="N149" s="395"/>
      <c r="O149" s="395">
        <v>137.44</v>
      </c>
      <c r="P149" s="395">
        <v>301.04000000000002</v>
      </c>
      <c r="Q149" s="395"/>
      <c r="R149" s="395">
        <v>0</v>
      </c>
      <c r="S149" s="395">
        <v>21.52</v>
      </c>
      <c r="T149" s="395">
        <v>3.52</v>
      </c>
    </row>
    <row r="150" spans="2:20" ht="18.75" customHeight="1" x14ac:dyDescent="0.3">
      <c r="B150" s="173">
        <v>338</v>
      </c>
      <c r="C150" s="359" t="s">
        <v>288</v>
      </c>
      <c r="D150" s="359"/>
      <c r="E150" s="173">
        <v>100</v>
      </c>
      <c r="F150" s="173">
        <v>0.4</v>
      </c>
      <c r="G150" s="173">
        <v>0.4</v>
      </c>
      <c r="H150" s="173">
        <v>9.8000000000000007</v>
      </c>
      <c r="I150" s="173">
        <v>42</v>
      </c>
      <c r="J150" s="173">
        <v>0.04</v>
      </c>
      <c r="K150" s="173">
        <v>0.02</v>
      </c>
      <c r="L150" s="173">
        <v>10</v>
      </c>
      <c r="M150" s="173">
        <v>0</v>
      </c>
      <c r="N150" s="173">
        <v>0.2</v>
      </c>
      <c r="O150" s="173">
        <v>16</v>
      </c>
      <c r="P150" s="173">
        <v>11</v>
      </c>
      <c r="Q150" s="173">
        <v>0</v>
      </c>
      <c r="R150" s="173">
        <v>0</v>
      </c>
      <c r="S150" s="173">
        <v>9</v>
      </c>
      <c r="T150" s="173">
        <v>2.2000000000000002</v>
      </c>
    </row>
    <row r="151" spans="2:20" ht="19.5" customHeight="1" x14ac:dyDescent="0.3">
      <c r="B151" s="173">
        <v>376</v>
      </c>
      <c r="C151" s="359" t="s">
        <v>141</v>
      </c>
      <c r="D151" s="359"/>
      <c r="E151" s="173">
        <v>200</v>
      </c>
      <c r="F151" s="173">
        <v>0.2</v>
      </c>
      <c r="G151" s="173">
        <v>0.05</v>
      </c>
      <c r="H151" s="173">
        <v>15.01</v>
      </c>
      <c r="I151" s="173">
        <v>61</v>
      </c>
      <c r="J151" s="173">
        <v>0</v>
      </c>
      <c r="K151" s="173">
        <v>0.01</v>
      </c>
      <c r="L151" s="173">
        <v>9</v>
      </c>
      <c r="M151" s="173">
        <v>1E-4</v>
      </c>
      <c r="N151" s="173">
        <v>4.4999999999999998E-2</v>
      </c>
      <c r="O151" s="173">
        <v>5.25</v>
      </c>
      <c r="P151" s="173">
        <v>8.24</v>
      </c>
      <c r="Q151" s="173">
        <v>8.0000000000000002E-3</v>
      </c>
      <c r="R151" s="173">
        <v>0</v>
      </c>
      <c r="S151" s="173">
        <v>4.4000000000000004</v>
      </c>
      <c r="T151" s="173">
        <v>0.87</v>
      </c>
    </row>
    <row r="152" spans="2:20" ht="18.75" customHeight="1" x14ac:dyDescent="0.3">
      <c r="B152" s="173" t="s">
        <v>224</v>
      </c>
      <c r="C152" s="359" t="s">
        <v>267</v>
      </c>
      <c r="D152" s="359"/>
      <c r="E152" s="173">
        <v>40</v>
      </c>
      <c r="F152" s="173">
        <v>2.67</v>
      </c>
      <c r="G152" s="173">
        <v>0.53</v>
      </c>
      <c r="H152" s="173">
        <v>13.73</v>
      </c>
      <c r="I152" s="173">
        <v>70.400000000000006</v>
      </c>
      <c r="J152" s="173">
        <v>0.13</v>
      </c>
      <c r="K152" s="173">
        <v>1.2999999999999999E-2</v>
      </c>
      <c r="L152" s="173">
        <v>0.1</v>
      </c>
      <c r="M152" s="173">
        <v>0</v>
      </c>
      <c r="N152" s="173">
        <v>0.93</v>
      </c>
      <c r="O152" s="173">
        <v>14</v>
      </c>
      <c r="P152" s="173">
        <v>63.2</v>
      </c>
      <c r="Q152" s="173">
        <v>1.2999999999999999E-2</v>
      </c>
      <c r="R152" s="173">
        <v>1.2999999999999999E-2</v>
      </c>
      <c r="S152" s="173">
        <v>18.8</v>
      </c>
      <c r="T152" s="173">
        <v>1.6</v>
      </c>
    </row>
    <row r="153" spans="2:20" x14ac:dyDescent="0.3">
      <c r="B153" s="360" t="s">
        <v>225</v>
      </c>
      <c r="C153" s="360"/>
      <c r="D153" s="360"/>
      <c r="E153" s="189">
        <f>SUM(E148:E152)</f>
        <v>580</v>
      </c>
      <c r="F153" s="189">
        <f t="shared" ref="F153:T153" si="31">SUM(F148:F152)</f>
        <v>22.179999999999993</v>
      </c>
      <c r="G153" s="189">
        <f t="shared" si="31"/>
        <v>34.119999999999997</v>
      </c>
      <c r="H153" s="189">
        <f t="shared" si="31"/>
        <v>43.19</v>
      </c>
      <c r="I153" s="189">
        <f t="shared" si="31"/>
        <v>565.83000000000004</v>
      </c>
      <c r="J153" s="189">
        <f t="shared" si="31"/>
        <v>0.31900000000000006</v>
      </c>
      <c r="K153" s="189">
        <f t="shared" si="31"/>
        <v>0.7330000000000001</v>
      </c>
      <c r="L153" s="189">
        <f t="shared" si="31"/>
        <v>22.44</v>
      </c>
      <c r="M153" s="189">
        <f t="shared" si="31"/>
        <v>0.1431</v>
      </c>
      <c r="N153" s="189">
        <f t="shared" si="31"/>
        <v>1.2050000000000001</v>
      </c>
      <c r="O153" s="189">
        <f t="shared" si="31"/>
        <v>179.59</v>
      </c>
      <c r="P153" s="189">
        <f t="shared" si="31"/>
        <v>396.08000000000004</v>
      </c>
      <c r="Q153" s="189">
        <f t="shared" si="31"/>
        <v>8.5000000000000006E-2</v>
      </c>
      <c r="R153" s="189">
        <f t="shared" si="31"/>
        <v>1.3999999999999999E-2</v>
      </c>
      <c r="S153" s="189">
        <f t="shared" si="31"/>
        <v>57.92</v>
      </c>
      <c r="T153" s="189">
        <f t="shared" si="31"/>
        <v>8.370000000000001</v>
      </c>
    </row>
    <row r="154" spans="2:20" x14ac:dyDescent="0.3">
      <c r="B154" s="360" t="s">
        <v>226</v>
      </c>
      <c r="C154" s="360"/>
      <c r="D154" s="360"/>
      <c r="E154" s="360"/>
      <c r="F154" s="190">
        <f>F153/F171</f>
        <v>0.28805194805194795</v>
      </c>
      <c r="G154" s="190">
        <f t="shared" ref="G154:T154" si="32">G153/G171</f>
        <v>0.43189873417721514</v>
      </c>
      <c r="H154" s="190">
        <f t="shared" si="32"/>
        <v>0.12892537313432836</v>
      </c>
      <c r="I154" s="190">
        <f t="shared" si="32"/>
        <v>0.24077872340425532</v>
      </c>
      <c r="J154" s="190">
        <f t="shared" si="32"/>
        <v>0.26583333333333342</v>
      </c>
      <c r="K154" s="190">
        <f t="shared" si="32"/>
        <v>0.52357142857142869</v>
      </c>
      <c r="L154" s="190">
        <f t="shared" si="32"/>
        <v>0.374</v>
      </c>
      <c r="M154" s="190">
        <f t="shared" si="32"/>
        <v>0.20442857142857146</v>
      </c>
      <c r="N154" s="190">
        <f t="shared" si="32"/>
        <v>0.12050000000000001</v>
      </c>
      <c r="O154" s="190">
        <f t="shared" si="32"/>
        <v>0.16326363636363636</v>
      </c>
      <c r="P154" s="190">
        <f t="shared" si="32"/>
        <v>0.36007272727272732</v>
      </c>
      <c r="Q154" s="190">
        <f t="shared" si="32"/>
        <v>8.5000000000000006E-3</v>
      </c>
      <c r="R154" s="190">
        <f t="shared" si="32"/>
        <v>0.13999999999999999</v>
      </c>
      <c r="S154" s="190">
        <f t="shared" si="32"/>
        <v>0.23168</v>
      </c>
      <c r="T154" s="190">
        <f t="shared" si="32"/>
        <v>0.69750000000000012</v>
      </c>
    </row>
    <row r="155" spans="2:20" x14ac:dyDescent="0.3">
      <c r="B155" s="360" t="s">
        <v>227</v>
      </c>
      <c r="C155" s="360"/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</row>
    <row r="156" spans="2:20" ht="27" customHeight="1" x14ac:dyDescent="0.3">
      <c r="B156" s="173">
        <v>52</v>
      </c>
      <c r="C156" s="359" t="s">
        <v>252</v>
      </c>
      <c r="D156" s="359"/>
      <c r="E156" s="173">
        <v>60</v>
      </c>
      <c r="F156" s="173">
        <v>0.86</v>
      </c>
      <c r="G156" s="173">
        <v>3.05</v>
      </c>
      <c r="H156" s="173">
        <v>5.13</v>
      </c>
      <c r="I156" s="173">
        <v>50.13</v>
      </c>
      <c r="J156" s="173">
        <v>0.01</v>
      </c>
      <c r="K156" s="173">
        <v>0.02</v>
      </c>
      <c r="L156" s="173">
        <v>5.7</v>
      </c>
      <c r="M156" s="173">
        <v>0.01</v>
      </c>
      <c r="N156" s="173">
        <v>0.1</v>
      </c>
      <c r="O156" s="173">
        <v>26.61</v>
      </c>
      <c r="P156" s="173">
        <v>25.64</v>
      </c>
      <c r="Q156" s="173">
        <v>0.43</v>
      </c>
      <c r="R156" s="173">
        <v>0.01</v>
      </c>
      <c r="S156" s="173">
        <v>12.9</v>
      </c>
      <c r="T156" s="173">
        <v>0.84</v>
      </c>
    </row>
    <row r="157" spans="2:20" ht="27" customHeight="1" x14ac:dyDescent="0.3">
      <c r="B157" s="173" t="s">
        <v>289</v>
      </c>
      <c r="C157" s="359" t="s">
        <v>290</v>
      </c>
      <c r="D157" s="359"/>
      <c r="E157" s="173">
        <v>200</v>
      </c>
      <c r="F157" s="173">
        <v>2.1</v>
      </c>
      <c r="G157" s="173">
        <v>2.1</v>
      </c>
      <c r="H157" s="173">
        <v>15.5</v>
      </c>
      <c r="I157" s="173">
        <v>90</v>
      </c>
      <c r="J157" s="173">
        <v>0.08</v>
      </c>
      <c r="K157" s="173">
        <v>0.04</v>
      </c>
      <c r="L157" s="173">
        <v>5.6</v>
      </c>
      <c r="M157" s="173">
        <v>0.08</v>
      </c>
      <c r="N157" s="173"/>
      <c r="O157" s="173">
        <v>12.64</v>
      </c>
      <c r="P157" s="173">
        <v>0</v>
      </c>
      <c r="Q157" s="173"/>
      <c r="R157" s="173">
        <v>0</v>
      </c>
      <c r="S157" s="173">
        <v>19.2</v>
      </c>
      <c r="T157" s="173">
        <v>0.72</v>
      </c>
    </row>
    <row r="158" spans="2:20" ht="29.25" customHeight="1" x14ac:dyDescent="0.3">
      <c r="B158" s="173">
        <v>295</v>
      </c>
      <c r="C158" s="359" t="s">
        <v>291</v>
      </c>
      <c r="D158" s="359"/>
      <c r="E158" s="173">
        <v>90</v>
      </c>
      <c r="F158" s="173">
        <v>13.7</v>
      </c>
      <c r="G158" s="173">
        <v>5.2</v>
      </c>
      <c r="H158" s="173">
        <v>9.1</v>
      </c>
      <c r="I158" s="173">
        <v>138.41999999999999</v>
      </c>
      <c r="J158" s="173">
        <v>8.1000000000000003E-2</v>
      </c>
      <c r="K158" s="173">
        <v>7.0000000000000007E-2</v>
      </c>
      <c r="L158" s="173">
        <v>0.22</v>
      </c>
      <c r="M158" s="173">
        <v>8.9999999999999998E-4</v>
      </c>
      <c r="N158" s="173">
        <v>6.6600000000000006E-2</v>
      </c>
      <c r="O158" s="173">
        <v>12.6</v>
      </c>
      <c r="P158" s="173">
        <v>84.6</v>
      </c>
      <c r="Q158" s="173">
        <v>1.05</v>
      </c>
      <c r="R158" s="173">
        <v>3.5999999999999997E-2</v>
      </c>
      <c r="S158" s="173">
        <v>14.6</v>
      </c>
      <c r="T158" s="173">
        <v>1.7</v>
      </c>
    </row>
    <row r="159" spans="2:20" x14ac:dyDescent="0.3">
      <c r="B159" s="173" t="s">
        <v>292</v>
      </c>
      <c r="C159" s="359" t="s">
        <v>293</v>
      </c>
      <c r="D159" s="359"/>
      <c r="E159" s="173">
        <v>150</v>
      </c>
      <c r="F159" s="173">
        <v>3.6</v>
      </c>
      <c r="G159" s="173">
        <v>3.51</v>
      </c>
      <c r="H159" s="173">
        <v>36.630000000000003</v>
      </c>
      <c r="I159" s="173">
        <v>195.78</v>
      </c>
      <c r="J159" s="173">
        <v>0.08</v>
      </c>
      <c r="K159" s="173">
        <v>0.06</v>
      </c>
      <c r="L159" s="173">
        <v>8.27</v>
      </c>
      <c r="M159" s="173">
        <v>0.08</v>
      </c>
      <c r="N159" s="173"/>
      <c r="O159" s="173">
        <v>53.87</v>
      </c>
      <c r="P159" s="173">
        <v>0</v>
      </c>
      <c r="Q159" s="173"/>
      <c r="R159" s="173">
        <v>0</v>
      </c>
      <c r="S159" s="173">
        <v>58.83</v>
      </c>
      <c r="T159" s="173">
        <v>1.19</v>
      </c>
    </row>
    <row r="160" spans="2:20" ht="15.75" customHeight="1" x14ac:dyDescent="0.3">
      <c r="B160" s="173">
        <v>377</v>
      </c>
      <c r="C160" s="359" t="s">
        <v>149</v>
      </c>
      <c r="D160" s="359"/>
      <c r="E160" s="173" t="s">
        <v>151</v>
      </c>
      <c r="F160" s="173">
        <v>0.26</v>
      </c>
      <c r="G160" s="173">
        <v>0.06</v>
      </c>
      <c r="H160" s="173">
        <v>15.22</v>
      </c>
      <c r="I160" s="173">
        <v>62.5</v>
      </c>
      <c r="J160" s="173"/>
      <c r="K160" s="173">
        <v>0.01</v>
      </c>
      <c r="L160" s="173">
        <v>2.9</v>
      </c>
      <c r="M160" s="173">
        <v>0</v>
      </c>
      <c r="N160" s="173">
        <v>0.06</v>
      </c>
      <c r="O160" s="173">
        <v>8.0500000000000007</v>
      </c>
      <c r="P160" s="173">
        <v>9.7799999999999994</v>
      </c>
      <c r="Q160" s="173">
        <v>1.7000000000000001E-2</v>
      </c>
      <c r="R160" s="173">
        <v>0</v>
      </c>
      <c r="S160" s="173">
        <v>5.24</v>
      </c>
      <c r="T160" s="173">
        <v>0.87</v>
      </c>
    </row>
    <row r="161" spans="2:20" ht="19.5" customHeight="1" x14ac:dyDescent="0.3">
      <c r="B161" s="173" t="s">
        <v>224</v>
      </c>
      <c r="C161" s="359" t="s">
        <v>235</v>
      </c>
      <c r="D161" s="359"/>
      <c r="E161" s="173">
        <v>40</v>
      </c>
      <c r="F161" s="173">
        <v>2.64</v>
      </c>
      <c r="G161" s="173">
        <v>0.48</v>
      </c>
      <c r="H161" s="173">
        <v>13.68</v>
      </c>
      <c r="I161" s="173">
        <v>66.2</v>
      </c>
      <c r="J161" s="173">
        <v>0.08</v>
      </c>
      <c r="K161" s="173">
        <v>0.04</v>
      </c>
      <c r="L161" s="173">
        <v>0</v>
      </c>
      <c r="M161" s="173">
        <v>0</v>
      </c>
      <c r="N161" s="173">
        <v>2.4</v>
      </c>
      <c r="O161" s="173">
        <v>14</v>
      </c>
      <c r="P161" s="173">
        <v>63.2</v>
      </c>
      <c r="Q161" s="173">
        <v>1.2</v>
      </c>
      <c r="R161" s="173">
        <v>1E-3</v>
      </c>
      <c r="S161" s="173">
        <v>9.4</v>
      </c>
      <c r="T161" s="173">
        <v>0.78</v>
      </c>
    </row>
    <row r="162" spans="2:20" x14ac:dyDescent="0.3">
      <c r="B162" s="173" t="s">
        <v>224</v>
      </c>
      <c r="C162" s="359" t="s">
        <v>117</v>
      </c>
      <c r="D162" s="359"/>
      <c r="E162" s="173">
        <v>30</v>
      </c>
      <c r="F162" s="173">
        <v>1.52</v>
      </c>
      <c r="G162" s="173">
        <v>0.16</v>
      </c>
      <c r="H162" s="173">
        <v>9.84</v>
      </c>
      <c r="I162" s="173">
        <v>44.4</v>
      </c>
      <c r="J162" s="173">
        <v>0.02</v>
      </c>
      <c r="K162" s="173">
        <v>0.01</v>
      </c>
      <c r="L162" s="173">
        <v>0.44</v>
      </c>
      <c r="M162" s="173">
        <v>0</v>
      </c>
      <c r="N162" s="173">
        <v>0.7</v>
      </c>
      <c r="O162" s="173">
        <v>4</v>
      </c>
      <c r="P162" s="173">
        <v>13</v>
      </c>
      <c r="Q162" s="173">
        <v>8.0000000000000002E-3</v>
      </c>
      <c r="R162" s="173">
        <v>1E-3</v>
      </c>
      <c r="S162" s="173">
        <v>0</v>
      </c>
      <c r="T162" s="173">
        <v>0.22</v>
      </c>
    </row>
    <row r="163" spans="2:20" ht="29.25" customHeight="1" x14ac:dyDescent="0.3">
      <c r="B163" s="360" t="s">
        <v>236</v>
      </c>
      <c r="C163" s="360"/>
      <c r="D163" s="360"/>
      <c r="E163" s="189">
        <f>E156+E157+E158+E159+E161+E162+204</f>
        <v>774</v>
      </c>
      <c r="F163" s="189">
        <f>SUM(F156:F162)</f>
        <v>24.680000000000003</v>
      </c>
      <c r="G163" s="189">
        <f t="shared" ref="G163:T163" si="33">SUM(G156:G162)</f>
        <v>14.560000000000002</v>
      </c>
      <c r="H163" s="189">
        <f t="shared" si="33"/>
        <v>105.1</v>
      </c>
      <c r="I163" s="189">
        <f t="shared" si="33"/>
        <v>647.42999999999995</v>
      </c>
      <c r="J163" s="189">
        <f t="shared" si="33"/>
        <v>0.35100000000000003</v>
      </c>
      <c r="K163" s="189">
        <f t="shared" si="33"/>
        <v>0.25</v>
      </c>
      <c r="L163" s="189">
        <f t="shared" si="33"/>
        <v>23.13</v>
      </c>
      <c r="M163" s="189">
        <f t="shared" si="33"/>
        <v>0.1709</v>
      </c>
      <c r="N163" s="189">
        <f t="shared" si="33"/>
        <v>3.3266</v>
      </c>
      <c r="O163" s="189">
        <f t="shared" si="33"/>
        <v>131.76999999999998</v>
      </c>
      <c r="P163" s="189">
        <f t="shared" si="33"/>
        <v>196.22</v>
      </c>
      <c r="Q163" s="189">
        <f t="shared" si="33"/>
        <v>2.7050000000000001</v>
      </c>
      <c r="R163" s="189">
        <f t="shared" si="33"/>
        <v>4.8000000000000001E-2</v>
      </c>
      <c r="S163" s="189">
        <f t="shared" si="33"/>
        <v>120.17</v>
      </c>
      <c r="T163" s="189">
        <f t="shared" si="33"/>
        <v>6.3199999999999994</v>
      </c>
    </row>
    <row r="164" spans="2:20" x14ac:dyDescent="0.3">
      <c r="B164" s="360" t="s">
        <v>226</v>
      </c>
      <c r="C164" s="360"/>
      <c r="D164" s="360"/>
      <c r="E164" s="360"/>
      <c r="F164" s="190">
        <f>F163/F171</f>
        <v>0.32051948051948054</v>
      </c>
      <c r="G164" s="190">
        <f t="shared" ref="G164:T164" si="34">G163/G171</f>
        <v>0.18430379746835446</v>
      </c>
      <c r="H164" s="190">
        <f t="shared" si="34"/>
        <v>0.3137313432835821</v>
      </c>
      <c r="I164" s="190">
        <f t="shared" si="34"/>
        <v>0.27550212765957444</v>
      </c>
      <c r="J164" s="190">
        <f t="shared" si="34"/>
        <v>0.29250000000000004</v>
      </c>
      <c r="K164" s="190">
        <f t="shared" si="34"/>
        <v>0.17857142857142858</v>
      </c>
      <c r="L164" s="190">
        <f t="shared" si="34"/>
        <v>0.38550000000000001</v>
      </c>
      <c r="M164" s="190">
        <f t="shared" si="34"/>
        <v>0.24414285714285716</v>
      </c>
      <c r="N164" s="190">
        <f t="shared" si="34"/>
        <v>0.33266000000000001</v>
      </c>
      <c r="O164" s="190">
        <f t="shared" si="34"/>
        <v>0.11979090909090907</v>
      </c>
      <c r="P164" s="190">
        <f t="shared" si="34"/>
        <v>0.17838181818181817</v>
      </c>
      <c r="Q164" s="190">
        <f t="shared" si="34"/>
        <v>0.27050000000000002</v>
      </c>
      <c r="R164" s="190">
        <f t="shared" si="34"/>
        <v>0.48</v>
      </c>
      <c r="S164" s="190">
        <f t="shared" si="34"/>
        <v>0.48068</v>
      </c>
      <c r="T164" s="190">
        <f t="shared" si="34"/>
        <v>0.52666666666666662</v>
      </c>
    </row>
    <row r="165" spans="2:20" x14ac:dyDescent="0.3">
      <c r="B165" s="360" t="s">
        <v>237</v>
      </c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  <c r="N165" s="360"/>
      <c r="O165" s="360"/>
      <c r="P165" s="360"/>
      <c r="Q165" s="360"/>
      <c r="R165" s="360"/>
      <c r="S165" s="360"/>
      <c r="T165" s="360"/>
    </row>
    <row r="166" spans="2:20" ht="15" customHeight="1" x14ac:dyDescent="0.3">
      <c r="B166" s="177" t="s">
        <v>224</v>
      </c>
      <c r="C166" s="352" t="s">
        <v>238</v>
      </c>
      <c r="D166" s="352"/>
      <c r="E166" s="177">
        <v>100</v>
      </c>
      <c r="F166" s="177">
        <v>7.86</v>
      </c>
      <c r="G166" s="177">
        <v>5.57</v>
      </c>
      <c r="H166" s="177">
        <v>53.71</v>
      </c>
      <c r="I166" s="177">
        <v>297.14</v>
      </c>
      <c r="J166" s="177">
        <v>0.1</v>
      </c>
      <c r="K166" s="177">
        <v>0.04</v>
      </c>
      <c r="L166" s="177">
        <v>0</v>
      </c>
      <c r="M166" s="177">
        <v>0.1</v>
      </c>
      <c r="N166" s="177"/>
      <c r="O166" s="177">
        <v>16.170000000000002</v>
      </c>
      <c r="P166" s="177">
        <v>0</v>
      </c>
      <c r="Q166" s="177">
        <v>0</v>
      </c>
      <c r="R166" s="177">
        <v>0</v>
      </c>
      <c r="S166" s="177">
        <v>11.19</v>
      </c>
      <c r="T166" s="177">
        <v>0.9</v>
      </c>
    </row>
    <row r="167" spans="2:20" ht="27.75" customHeight="1" x14ac:dyDescent="0.3">
      <c r="B167" s="177">
        <v>648</v>
      </c>
      <c r="C167" s="352" t="s">
        <v>294</v>
      </c>
      <c r="D167" s="352"/>
      <c r="E167" s="177">
        <v>200</v>
      </c>
      <c r="F167" s="177">
        <v>0</v>
      </c>
      <c r="G167" s="177">
        <v>0</v>
      </c>
      <c r="H167" s="177">
        <v>20</v>
      </c>
      <c r="I167" s="177">
        <v>76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 s="177">
        <v>0.48</v>
      </c>
      <c r="P167" s="177">
        <v>0</v>
      </c>
      <c r="Q167" s="177">
        <v>0</v>
      </c>
      <c r="R167" s="177">
        <v>0</v>
      </c>
      <c r="S167" s="177">
        <v>0</v>
      </c>
      <c r="T167" s="177">
        <v>0.06</v>
      </c>
    </row>
    <row r="168" spans="2:20" ht="15" customHeight="1" x14ac:dyDescent="0.3">
      <c r="B168" s="356" t="s">
        <v>240</v>
      </c>
      <c r="C168" s="357"/>
      <c r="D168" s="358"/>
      <c r="E168" s="178">
        <f>E166+E167</f>
        <v>300</v>
      </c>
      <c r="F168" s="178">
        <f t="shared" ref="F168:T168" si="35">F166+F167</f>
        <v>7.86</v>
      </c>
      <c r="G168" s="178">
        <f t="shared" si="35"/>
        <v>5.57</v>
      </c>
      <c r="H168" s="178">
        <f t="shared" si="35"/>
        <v>73.710000000000008</v>
      </c>
      <c r="I168" s="178">
        <f t="shared" si="35"/>
        <v>373.14</v>
      </c>
      <c r="J168" s="178">
        <f t="shared" si="35"/>
        <v>0.1</v>
      </c>
      <c r="K168" s="178">
        <f t="shared" si="35"/>
        <v>0.04</v>
      </c>
      <c r="L168" s="178">
        <f t="shared" si="35"/>
        <v>0</v>
      </c>
      <c r="M168" s="178">
        <f t="shared" si="35"/>
        <v>0.1</v>
      </c>
      <c r="N168" s="178">
        <f t="shared" si="35"/>
        <v>0</v>
      </c>
      <c r="O168" s="178">
        <f t="shared" si="35"/>
        <v>16.650000000000002</v>
      </c>
      <c r="P168" s="178">
        <f t="shared" si="35"/>
        <v>0</v>
      </c>
      <c r="Q168" s="178">
        <f t="shared" si="35"/>
        <v>0</v>
      </c>
      <c r="R168" s="178">
        <f t="shared" si="35"/>
        <v>0</v>
      </c>
      <c r="S168" s="178">
        <f t="shared" si="35"/>
        <v>11.19</v>
      </c>
      <c r="T168" s="178">
        <f t="shared" si="35"/>
        <v>0.96</v>
      </c>
    </row>
    <row r="169" spans="2:20" x14ac:dyDescent="0.3">
      <c r="B169" s="360" t="s">
        <v>226</v>
      </c>
      <c r="C169" s="360"/>
      <c r="D169" s="360"/>
      <c r="E169" s="360"/>
      <c r="F169" s="190">
        <f>F168/F171</f>
        <v>0.10207792207792209</v>
      </c>
      <c r="G169" s="190">
        <f t="shared" ref="G169:T169" si="36">G168/G171</f>
        <v>7.0506329113924057E-2</v>
      </c>
      <c r="H169" s="190">
        <f t="shared" si="36"/>
        <v>0.22002985074626868</v>
      </c>
      <c r="I169" s="190">
        <f t="shared" si="36"/>
        <v>0.15878297872340424</v>
      </c>
      <c r="J169" s="190">
        <f t="shared" si="36"/>
        <v>8.3333333333333343E-2</v>
      </c>
      <c r="K169" s="190">
        <f t="shared" si="36"/>
        <v>2.8571428571428574E-2</v>
      </c>
      <c r="L169" s="190">
        <f t="shared" si="36"/>
        <v>0</v>
      </c>
      <c r="M169" s="190">
        <f t="shared" si="36"/>
        <v>0.14285714285714288</v>
      </c>
      <c r="N169" s="190">
        <f t="shared" si="36"/>
        <v>0</v>
      </c>
      <c r="O169" s="190">
        <f t="shared" si="36"/>
        <v>1.5136363636363639E-2</v>
      </c>
      <c r="P169" s="190">
        <f t="shared" si="36"/>
        <v>0</v>
      </c>
      <c r="Q169" s="190">
        <f t="shared" si="36"/>
        <v>0</v>
      </c>
      <c r="R169" s="190">
        <f t="shared" si="36"/>
        <v>0</v>
      </c>
      <c r="S169" s="190">
        <f t="shared" si="36"/>
        <v>4.4760000000000001E-2</v>
      </c>
      <c r="T169" s="190">
        <f t="shared" si="36"/>
        <v>0.08</v>
      </c>
    </row>
    <row r="170" spans="2:20" x14ac:dyDescent="0.3">
      <c r="B170" s="360" t="s">
        <v>241</v>
      </c>
      <c r="C170" s="360"/>
      <c r="D170" s="360"/>
      <c r="E170" s="360"/>
      <c r="F170" s="189">
        <f>F168+F163+F153</f>
        <v>54.72</v>
      </c>
      <c r="G170" s="189">
        <f t="shared" ref="G170:T170" si="37">G168+G163+G153</f>
        <v>54.25</v>
      </c>
      <c r="H170" s="189">
        <f t="shared" si="37"/>
        <v>222</v>
      </c>
      <c r="I170" s="189">
        <f t="shared" si="37"/>
        <v>1586.4</v>
      </c>
      <c r="J170" s="189">
        <f t="shared" si="37"/>
        <v>0.77000000000000013</v>
      </c>
      <c r="K170" s="189">
        <f t="shared" si="37"/>
        <v>1.0230000000000001</v>
      </c>
      <c r="L170" s="189">
        <f t="shared" si="37"/>
        <v>45.57</v>
      </c>
      <c r="M170" s="189">
        <f t="shared" si="37"/>
        <v>0.41400000000000003</v>
      </c>
      <c r="N170" s="189">
        <f t="shared" si="37"/>
        <v>4.5316000000000001</v>
      </c>
      <c r="O170" s="189">
        <f t="shared" si="37"/>
        <v>328.01</v>
      </c>
      <c r="P170" s="189">
        <f t="shared" si="37"/>
        <v>592.30000000000007</v>
      </c>
      <c r="Q170" s="189">
        <f t="shared" si="37"/>
        <v>2.79</v>
      </c>
      <c r="R170" s="189">
        <f t="shared" si="37"/>
        <v>6.2E-2</v>
      </c>
      <c r="S170" s="189">
        <f t="shared" si="37"/>
        <v>189.28000000000003</v>
      </c>
      <c r="T170" s="189">
        <f t="shared" si="37"/>
        <v>15.65</v>
      </c>
    </row>
    <row r="171" spans="2:20" x14ac:dyDescent="0.3">
      <c r="B171" s="360" t="s">
        <v>242</v>
      </c>
      <c r="C171" s="360"/>
      <c r="D171" s="360"/>
      <c r="E171" s="360"/>
      <c r="F171" s="173">
        <v>77</v>
      </c>
      <c r="G171" s="173">
        <v>79</v>
      </c>
      <c r="H171" s="173">
        <v>335</v>
      </c>
      <c r="I171" s="173">
        <v>2350</v>
      </c>
      <c r="J171" s="173">
        <v>1.2</v>
      </c>
      <c r="K171" s="173">
        <v>1.4</v>
      </c>
      <c r="L171" s="173">
        <v>60</v>
      </c>
      <c r="M171" s="173">
        <v>0.7</v>
      </c>
      <c r="N171" s="173">
        <v>10</v>
      </c>
      <c r="O171" s="173">
        <v>1100</v>
      </c>
      <c r="P171" s="173">
        <v>1100</v>
      </c>
      <c r="Q171" s="173">
        <v>10</v>
      </c>
      <c r="R171" s="173">
        <v>0.1</v>
      </c>
      <c r="S171" s="173">
        <v>250</v>
      </c>
      <c r="T171" s="173">
        <v>12</v>
      </c>
    </row>
    <row r="172" spans="2:20" x14ac:dyDescent="0.3">
      <c r="B172" s="360" t="s">
        <v>226</v>
      </c>
      <c r="C172" s="360"/>
      <c r="D172" s="360"/>
      <c r="E172" s="360"/>
      <c r="F172" s="190">
        <f>F170/F171</f>
        <v>0.71064935064935064</v>
      </c>
      <c r="G172" s="190">
        <f t="shared" ref="G172:T172" si="38">G170/G171</f>
        <v>0.68670886075949367</v>
      </c>
      <c r="H172" s="190">
        <f t="shared" si="38"/>
        <v>0.66268656716417906</v>
      </c>
      <c r="I172" s="190">
        <f t="shared" si="38"/>
        <v>0.67506382978723412</v>
      </c>
      <c r="J172" s="190">
        <f t="shared" si="38"/>
        <v>0.64166666666666683</v>
      </c>
      <c r="K172" s="190">
        <f t="shared" si="38"/>
        <v>0.73071428571428587</v>
      </c>
      <c r="L172" s="190">
        <f t="shared" si="38"/>
        <v>0.75949999999999995</v>
      </c>
      <c r="M172" s="190">
        <f t="shared" si="38"/>
        <v>0.59142857142857153</v>
      </c>
      <c r="N172" s="190">
        <f t="shared" si="38"/>
        <v>0.45316000000000001</v>
      </c>
      <c r="O172" s="190">
        <f t="shared" si="38"/>
        <v>0.29819090909090906</v>
      </c>
      <c r="P172" s="190">
        <f t="shared" si="38"/>
        <v>0.53845454545454552</v>
      </c>
      <c r="Q172" s="190">
        <f t="shared" si="38"/>
        <v>0.27900000000000003</v>
      </c>
      <c r="R172" s="190">
        <f t="shared" si="38"/>
        <v>0.62</v>
      </c>
      <c r="S172" s="190">
        <f t="shared" si="38"/>
        <v>0.75712000000000013</v>
      </c>
      <c r="T172" s="190">
        <f t="shared" si="38"/>
        <v>1.3041666666666667</v>
      </c>
    </row>
    <row r="173" spans="2:20" x14ac:dyDescent="0.3">
      <c r="B173" s="350" t="s">
        <v>295</v>
      </c>
      <c r="C173" s="350"/>
      <c r="D173" s="350"/>
      <c r="E173" s="350"/>
      <c r="F173" s="189">
        <f>(F14+F51+F86+F119+F153)/5</f>
        <v>22.937000000000001</v>
      </c>
      <c r="G173" s="189">
        <f t="shared" ref="G173:T173" si="39">(G14+G51+G86+G119+G153)/5</f>
        <v>21.8902</v>
      </c>
      <c r="H173" s="189">
        <f t="shared" si="39"/>
        <v>73.575800000000001</v>
      </c>
      <c r="I173" s="189">
        <f t="shared" si="39"/>
        <v>579.80799999999999</v>
      </c>
      <c r="J173" s="189">
        <f t="shared" si="39"/>
        <v>0.26820000000000005</v>
      </c>
      <c r="K173" s="189">
        <f t="shared" si="39"/>
        <v>0.38300000000000006</v>
      </c>
      <c r="L173" s="189">
        <f t="shared" si="39"/>
        <v>13.566599999999999</v>
      </c>
      <c r="M173" s="189">
        <f t="shared" si="39"/>
        <v>0.38463999999999998</v>
      </c>
      <c r="N173" s="189">
        <f t="shared" si="39"/>
        <v>2.0204</v>
      </c>
      <c r="O173" s="189">
        <f t="shared" si="39"/>
        <v>230.69560000000001</v>
      </c>
      <c r="P173" s="189">
        <f t="shared" si="39"/>
        <v>352.5222</v>
      </c>
      <c r="Q173" s="189">
        <f t="shared" si="39"/>
        <v>1.3231999999999999</v>
      </c>
      <c r="R173" s="189">
        <f t="shared" si="39"/>
        <v>2.52E-2</v>
      </c>
      <c r="S173" s="189">
        <f t="shared" si="39"/>
        <v>69.479399999999998</v>
      </c>
      <c r="T173" s="189">
        <f t="shared" si="39"/>
        <v>5.1240000000000006</v>
      </c>
    </row>
    <row r="174" spans="2:20" x14ac:dyDescent="0.3">
      <c r="B174" s="350" t="s">
        <v>242</v>
      </c>
      <c r="C174" s="350"/>
      <c r="D174" s="350"/>
      <c r="E174" s="350"/>
      <c r="F174" s="173">
        <v>77</v>
      </c>
      <c r="G174" s="173">
        <v>79</v>
      </c>
      <c r="H174" s="173">
        <v>335</v>
      </c>
      <c r="I174" s="173">
        <v>2350</v>
      </c>
      <c r="J174" s="173">
        <v>1.2</v>
      </c>
      <c r="K174" s="173">
        <v>1.4</v>
      </c>
      <c r="L174" s="173">
        <v>60</v>
      </c>
      <c r="M174" s="173">
        <v>0.7</v>
      </c>
      <c r="N174" s="173">
        <v>10</v>
      </c>
      <c r="O174" s="173">
        <v>1100</v>
      </c>
      <c r="P174" s="173">
        <v>1100</v>
      </c>
      <c r="Q174" s="173">
        <v>10</v>
      </c>
      <c r="R174" s="173">
        <v>0.1</v>
      </c>
      <c r="S174" s="173">
        <v>250</v>
      </c>
      <c r="T174" s="173">
        <v>12</v>
      </c>
    </row>
    <row r="175" spans="2:20" x14ac:dyDescent="0.3">
      <c r="B175" s="350" t="s">
        <v>226</v>
      </c>
      <c r="C175" s="350"/>
      <c r="D175" s="350"/>
      <c r="E175" s="350"/>
      <c r="F175" s="190">
        <f>F173/F174</f>
        <v>0.29788311688311692</v>
      </c>
      <c r="G175" s="190">
        <f t="shared" ref="G175:T175" si="40">G173/G174</f>
        <v>0.27709113924050632</v>
      </c>
      <c r="H175" s="190">
        <f t="shared" si="40"/>
        <v>0.21962925373134329</v>
      </c>
      <c r="I175" s="190">
        <f t="shared" si="40"/>
        <v>0.2467268085106383</v>
      </c>
      <c r="J175" s="190">
        <f t="shared" si="40"/>
        <v>0.22350000000000006</v>
      </c>
      <c r="K175" s="190">
        <f t="shared" si="40"/>
        <v>0.27357142857142863</v>
      </c>
      <c r="L175" s="190">
        <f t="shared" si="40"/>
        <v>0.22610999999999998</v>
      </c>
      <c r="M175" s="190">
        <f t="shared" si="40"/>
        <v>0.54948571428571424</v>
      </c>
      <c r="N175" s="190">
        <f t="shared" si="40"/>
        <v>0.20204</v>
      </c>
      <c r="O175" s="190">
        <f t="shared" si="40"/>
        <v>0.20972327272727273</v>
      </c>
      <c r="P175" s="190">
        <f t="shared" si="40"/>
        <v>0.32047472727272724</v>
      </c>
      <c r="Q175" s="190">
        <f t="shared" si="40"/>
        <v>0.13231999999999999</v>
      </c>
      <c r="R175" s="190">
        <f t="shared" si="40"/>
        <v>0.252</v>
      </c>
      <c r="S175" s="190">
        <f t="shared" si="40"/>
        <v>0.27791759999999999</v>
      </c>
      <c r="T175" s="190">
        <f t="shared" si="40"/>
        <v>0.42700000000000005</v>
      </c>
    </row>
    <row r="176" spans="2:20" x14ac:dyDescent="0.3">
      <c r="B176" s="350" t="s">
        <v>296</v>
      </c>
      <c r="C176" s="350"/>
      <c r="D176" s="350"/>
      <c r="E176" s="350"/>
      <c r="F176" s="189">
        <f>(F26+F61+F96+F129+F163)/5</f>
        <v>25.371000000000002</v>
      </c>
      <c r="G176" s="189">
        <f t="shared" ref="G176:T176" si="41">(G26+G61+G96+G129+G163)/5</f>
        <v>25.602199999999993</v>
      </c>
      <c r="H176" s="189">
        <f t="shared" si="41"/>
        <v>99.6738</v>
      </c>
      <c r="I176" s="189">
        <f t="shared" si="41"/>
        <v>731.78800000000001</v>
      </c>
      <c r="J176" s="189">
        <f t="shared" si="41"/>
        <v>0.56279999999999997</v>
      </c>
      <c r="K176" s="189">
        <f t="shared" si="41"/>
        <v>0.44679999999999997</v>
      </c>
      <c r="L176" s="189">
        <f t="shared" si="41"/>
        <v>33.012599999999999</v>
      </c>
      <c r="M176" s="189">
        <f t="shared" si="41"/>
        <v>0.54458000000000006</v>
      </c>
      <c r="N176" s="189">
        <f t="shared" si="41"/>
        <v>5.1898199999999992</v>
      </c>
      <c r="O176" s="189">
        <f t="shared" si="41"/>
        <v>146.1996</v>
      </c>
      <c r="P176" s="189">
        <f t="shared" si="41"/>
        <v>333.90819999999997</v>
      </c>
      <c r="Q176" s="189">
        <f t="shared" si="41"/>
        <v>2.5029999999999997</v>
      </c>
      <c r="R176" s="189">
        <f t="shared" si="41"/>
        <v>2.5984E-2</v>
      </c>
      <c r="S176" s="189">
        <f t="shared" si="41"/>
        <v>101.84740000000001</v>
      </c>
      <c r="T176" s="189">
        <f t="shared" si="41"/>
        <v>6.1899999999999995</v>
      </c>
    </row>
    <row r="177" spans="2:20" x14ac:dyDescent="0.3">
      <c r="B177" s="350" t="s">
        <v>242</v>
      </c>
      <c r="C177" s="350"/>
      <c r="D177" s="350"/>
      <c r="E177" s="350"/>
      <c r="F177" s="173">
        <v>77</v>
      </c>
      <c r="G177" s="173">
        <v>79</v>
      </c>
      <c r="H177" s="173">
        <v>335</v>
      </c>
      <c r="I177" s="173">
        <v>2350</v>
      </c>
      <c r="J177" s="173">
        <v>1.2</v>
      </c>
      <c r="K177" s="173">
        <v>1.4</v>
      </c>
      <c r="L177" s="173">
        <v>60</v>
      </c>
      <c r="M177" s="173">
        <v>0.7</v>
      </c>
      <c r="N177" s="173">
        <v>10</v>
      </c>
      <c r="O177" s="173">
        <v>1100</v>
      </c>
      <c r="P177" s="173">
        <v>1100</v>
      </c>
      <c r="Q177" s="173">
        <v>10</v>
      </c>
      <c r="R177" s="173">
        <v>0.1</v>
      </c>
      <c r="S177" s="173">
        <v>250</v>
      </c>
      <c r="T177" s="173">
        <v>12</v>
      </c>
    </row>
    <row r="178" spans="2:20" x14ac:dyDescent="0.3">
      <c r="B178" s="350" t="s">
        <v>226</v>
      </c>
      <c r="C178" s="350"/>
      <c r="D178" s="350"/>
      <c r="E178" s="350"/>
      <c r="F178" s="190">
        <f>F176/F177</f>
        <v>0.3294935064935065</v>
      </c>
      <c r="G178" s="190">
        <f t="shared" ref="G178:T178" si="42">G176/G177</f>
        <v>0.32407848101265813</v>
      </c>
      <c r="H178" s="190">
        <f t="shared" si="42"/>
        <v>0.29753373134328359</v>
      </c>
      <c r="I178" s="190">
        <f t="shared" si="42"/>
        <v>0.31139914893617021</v>
      </c>
      <c r="J178" s="190">
        <f t="shared" si="42"/>
        <v>0.46899999999999997</v>
      </c>
      <c r="K178" s="190">
        <f t="shared" si="42"/>
        <v>0.31914285714285717</v>
      </c>
      <c r="L178" s="190">
        <f t="shared" si="42"/>
        <v>0.55020999999999998</v>
      </c>
      <c r="M178" s="190">
        <f t="shared" si="42"/>
        <v>0.77797142857142876</v>
      </c>
      <c r="N178" s="190">
        <f t="shared" si="42"/>
        <v>0.51898199999999994</v>
      </c>
      <c r="O178" s="190">
        <f t="shared" si="42"/>
        <v>0.13290872727272729</v>
      </c>
      <c r="P178" s="190">
        <f t="shared" si="42"/>
        <v>0.30355290909090904</v>
      </c>
      <c r="Q178" s="190">
        <f t="shared" si="42"/>
        <v>0.25029999999999997</v>
      </c>
      <c r="R178" s="190">
        <f t="shared" si="42"/>
        <v>0.25983999999999996</v>
      </c>
      <c r="S178" s="190">
        <f t="shared" si="42"/>
        <v>0.40738960000000002</v>
      </c>
      <c r="T178" s="190">
        <f t="shared" si="42"/>
        <v>0.51583333333333325</v>
      </c>
    </row>
    <row r="179" spans="2:20" x14ac:dyDescent="0.3">
      <c r="B179" s="350" t="s">
        <v>297</v>
      </c>
      <c r="C179" s="350"/>
      <c r="D179" s="350"/>
      <c r="E179" s="350"/>
      <c r="F179" s="197">
        <f>(F31+F66+F101+F134+F168)/5</f>
        <v>9.2379999999999995</v>
      </c>
      <c r="G179" s="197">
        <f t="shared" ref="G179:T179" si="43">(G31+G66+G101+G134+G168)/5</f>
        <v>7.330000000000001</v>
      </c>
      <c r="H179" s="197">
        <f t="shared" si="43"/>
        <v>63.372</v>
      </c>
      <c r="I179" s="197">
        <f t="shared" si="43"/>
        <v>356.19799999999998</v>
      </c>
      <c r="J179" s="197">
        <f t="shared" si="43"/>
        <v>0.1</v>
      </c>
      <c r="K179" s="197">
        <f t="shared" si="43"/>
        <v>0.14400000000000002</v>
      </c>
      <c r="L179" s="197">
        <f t="shared" si="43"/>
        <v>1.58</v>
      </c>
      <c r="M179" s="197">
        <f t="shared" si="43"/>
        <v>0.1</v>
      </c>
      <c r="N179" s="197">
        <f t="shared" si="43"/>
        <v>1.2199999999999999E-2</v>
      </c>
      <c r="O179" s="197">
        <f t="shared" si="43"/>
        <v>88.224000000000004</v>
      </c>
      <c r="P179" s="197">
        <f t="shared" si="43"/>
        <v>83.073999999999998</v>
      </c>
      <c r="Q179" s="197">
        <f t="shared" si="43"/>
        <v>8.4000000000000005E-2</v>
      </c>
      <c r="R179" s="197">
        <f t="shared" si="43"/>
        <v>2.0000000000000001E-4</v>
      </c>
      <c r="S179" s="197">
        <f t="shared" si="43"/>
        <v>21.898</v>
      </c>
      <c r="T179" s="197">
        <f t="shared" si="43"/>
        <v>1.4259999999999999</v>
      </c>
    </row>
    <row r="180" spans="2:20" x14ac:dyDescent="0.3">
      <c r="B180" s="350" t="s">
        <v>242</v>
      </c>
      <c r="C180" s="350"/>
      <c r="D180" s="350"/>
      <c r="E180" s="350"/>
      <c r="F180" s="173">
        <v>77</v>
      </c>
      <c r="G180" s="173">
        <v>79</v>
      </c>
      <c r="H180" s="173">
        <v>335</v>
      </c>
      <c r="I180" s="173">
        <v>2350</v>
      </c>
      <c r="J180" s="173">
        <v>1.2</v>
      </c>
      <c r="K180" s="173">
        <v>1.4</v>
      </c>
      <c r="L180" s="173">
        <v>60</v>
      </c>
      <c r="M180" s="173">
        <v>0.7</v>
      </c>
      <c r="N180" s="173">
        <v>10</v>
      </c>
      <c r="O180" s="173">
        <v>1100</v>
      </c>
      <c r="P180" s="173">
        <v>1100</v>
      </c>
      <c r="Q180" s="173">
        <v>10</v>
      </c>
      <c r="R180" s="173">
        <v>0.1</v>
      </c>
      <c r="S180" s="173">
        <v>250</v>
      </c>
      <c r="T180" s="173">
        <v>12</v>
      </c>
    </row>
    <row r="181" spans="2:20" x14ac:dyDescent="0.3">
      <c r="B181" s="350" t="s">
        <v>226</v>
      </c>
      <c r="C181" s="350"/>
      <c r="D181" s="350"/>
      <c r="E181" s="350"/>
      <c r="F181" s="190">
        <f>F179/F180</f>
        <v>0.11997402597402597</v>
      </c>
      <c r="G181" s="190">
        <f t="shared" ref="G181:T181" si="44">G179/G180</f>
        <v>9.2784810126582296E-2</v>
      </c>
      <c r="H181" s="190">
        <f t="shared" si="44"/>
        <v>0.18917014925373135</v>
      </c>
      <c r="I181" s="190">
        <f t="shared" si="44"/>
        <v>0.15157361702127659</v>
      </c>
      <c r="J181" s="190">
        <f t="shared" si="44"/>
        <v>8.3333333333333343E-2</v>
      </c>
      <c r="K181" s="190">
        <f t="shared" si="44"/>
        <v>0.10285714285714287</v>
      </c>
      <c r="L181" s="190">
        <f t="shared" si="44"/>
        <v>2.6333333333333334E-2</v>
      </c>
      <c r="M181" s="190">
        <f t="shared" si="44"/>
        <v>0.14285714285714288</v>
      </c>
      <c r="N181" s="190">
        <f t="shared" si="44"/>
        <v>1.2199999999999999E-3</v>
      </c>
      <c r="O181" s="190">
        <f t="shared" si="44"/>
        <v>8.0203636363636366E-2</v>
      </c>
      <c r="P181" s="190">
        <f t="shared" si="44"/>
        <v>7.5521818181818176E-2</v>
      </c>
      <c r="Q181" s="190">
        <f t="shared" si="44"/>
        <v>8.4000000000000012E-3</v>
      </c>
      <c r="R181" s="190">
        <f t="shared" si="44"/>
        <v>2E-3</v>
      </c>
      <c r="S181" s="190">
        <f t="shared" si="44"/>
        <v>8.7592000000000003E-2</v>
      </c>
      <c r="T181" s="190">
        <f t="shared" si="44"/>
        <v>0.11883333333333333</v>
      </c>
    </row>
    <row r="182" spans="2:20" x14ac:dyDescent="0.3">
      <c r="B182" s="350" t="s">
        <v>298</v>
      </c>
      <c r="C182" s="350"/>
      <c r="D182" s="350"/>
      <c r="E182" s="350"/>
      <c r="F182" s="197">
        <f>F173+F176+F179</f>
        <v>57.546000000000006</v>
      </c>
      <c r="G182" s="197">
        <f t="shared" ref="G182:T182" si="45">G173+G176+G179</f>
        <v>54.822399999999988</v>
      </c>
      <c r="H182" s="197">
        <f t="shared" si="45"/>
        <v>236.6216</v>
      </c>
      <c r="I182" s="197">
        <f t="shared" si="45"/>
        <v>1667.7939999999999</v>
      </c>
      <c r="J182" s="197">
        <f t="shared" si="45"/>
        <v>0.93099999999999994</v>
      </c>
      <c r="K182" s="197">
        <f t="shared" si="45"/>
        <v>0.97380000000000011</v>
      </c>
      <c r="L182" s="197">
        <f t="shared" si="45"/>
        <v>48.159199999999998</v>
      </c>
      <c r="M182" s="197">
        <f t="shared" si="45"/>
        <v>1.02922</v>
      </c>
      <c r="N182" s="197">
        <f t="shared" si="45"/>
        <v>7.2224199999999996</v>
      </c>
      <c r="O182" s="197">
        <f t="shared" si="45"/>
        <v>465.11920000000003</v>
      </c>
      <c r="P182" s="197">
        <f t="shared" si="45"/>
        <v>769.50439999999992</v>
      </c>
      <c r="Q182" s="197">
        <f t="shared" si="45"/>
        <v>3.9101999999999997</v>
      </c>
      <c r="R182" s="197">
        <f t="shared" si="45"/>
        <v>5.1383999999999999E-2</v>
      </c>
      <c r="S182" s="197">
        <f t="shared" si="45"/>
        <v>193.22479999999999</v>
      </c>
      <c r="T182" s="197">
        <f t="shared" si="45"/>
        <v>12.74</v>
      </c>
    </row>
    <row r="183" spans="2:20" x14ac:dyDescent="0.3">
      <c r="B183" s="350" t="s">
        <v>242</v>
      </c>
      <c r="C183" s="350"/>
      <c r="D183" s="350"/>
      <c r="E183" s="350"/>
      <c r="F183" s="173">
        <v>77</v>
      </c>
      <c r="G183" s="173">
        <v>79</v>
      </c>
      <c r="H183" s="173">
        <v>335</v>
      </c>
      <c r="I183" s="173">
        <v>2350</v>
      </c>
      <c r="J183" s="173">
        <v>1.2</v>
      </c>
      <c r="K183" s="173">
        <v>1.4</v>
      </c>
      <c r="L183" s="173">
        <v>60</v>
      </c>
      <c r="M183" s="173">
        <v>0.7</v>
      </c>
      <c r="N183" s="173">
        <v>10</v>
      </c>
      <c r="O183" s="173">
        <v>1100</v>
      </c>
      <c r="P183" s="173">
        <v>1100</v>
      </c>
      <c r="Q183" s="173">
        <v>10</v>
      </c>
      <c r="R183" s="173">
        <v>0.1</v>
      </c>
      <c r="S183" s="173">
        <v>250</v>
      </c>
      <c r="T183" s="173">
        <v>12</v>
      </c>
    </row>
    <row r="184" spans="2:20" x14ac:dyDescent="0.3">
      <c r="B184" s="350" t="s">
        <v>226</v>
      </c>
      <c r="C184" s="350"/>
      <c r="D184" s="350"/>
      <c r="E184" s="350"/>
      <c r="F184" s="190">
        <f>F182/F183</f>
        <v>0.74735064935064943</v>
      </c>
      <c r="G184" s="190">
        <f t="shared" ref="G184:T184" si="46">G182/G183</f>
        <v>0.69395443037974669</v>
      </c>
      <c r="H184" s="190">
        <f t="shared" si="46"/>
        <v>0.7063331343283582</v>
      </c>
      <c r="I184" s="190">
        <f t="shared" si="46"/>
        <v>0.70969957446808507</v>
      </c>
      <c r="J184" s="190">
        <f t="shared" si="46"/>
        <v>0.77583333333333326</v>
      </c>
      <c r="K184" s="190">
        <f t="shared" si="46"/>
        <v>0.69557142857142873</v>
      </c>
      <c r="L184" s="190">
        <f t="shared" si="46"/>
        <v>0.80265333333333333</v>
      </c>
      <c r="M184" s="190">
        <f t="shared" si="46"/>
        <v>1.4703142857142859</v>
      </c>
      <c r="N184" s="190">
        <f t="shared" si="46"/>
        <v>0.72224199999999994</v>
      </c>
      <c r="O184" s="190">
        <f t="shared" si="46"/>
        <v>0.42283563636363641</v>
      </c>
      <c r="P184" s="190">
        <f t="shared" si="46"/>
        <v>0.69954945454545447</v>
      </c>
      <c r="Q184" s="190">
        <f t="shared" si="46"/>
        <v>0.39101999999999998</v>
      </c>
      <c r="R184" s="190">
        <f t="shared" si="46"/>
        <v>0.51383999999999996</v>
      </c>
      <c r="S184" s="190">
        <f t="shared" si="46"/>
        <v>0.7728991999999999</v>
      </c>
      <c r="T184" s="190">
        <f t="shared" si="46"/>
        <v>1.0616666666666668</v>
      </c>
    </row>
    <row r="185" spans="2:20" x14ac:dyDescent="0.3">
      <c r="B185" s="172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363" t="s">
        <v>187</v>
      </c>
      <c r="N185" s="363"/>
      <c r="O185" s="363"/>
      <c r="P185" s="363"/>
      <c r="Q185" s="363"/>
      <c r="R185" s="363"/>
      <c r="S185" s="363"/>
      <c r="T185" s="363"/>
    </row>
    <row r="186" spans="2:20" x14ac:dyDescent="0.3">
      <c r="B186" s="360" t="s">
        <v>299</v>
      </c>
      <c r="C186" s="360"/>
      <c r="D186" s="360"/>
      <c r="E186" s="360"/>
      <c r="F186" s="360"/>
      <c r="G186" s="360"/>
      <c r="H186" s="360"/>
      <c r="I186" s="360"/>
      <c r="J186" s="360"/>
      <c r="K186" s="360"/>
      <c r="L186" s="360"/>
      <c r="M186" s="360"/>
      <c r="N186" s="360"/>
      <c r="O186" s="360"/>
      <c r="P186" s="360"/>
      <c r="Q186" s="360"/>
      <c r="R186" s="360"/>
      <c r="S186" s="360"/>
      <c r="T186" s="360"/>
    </row>
    <row r="187" spans="2:20" x14ac:dyDescent="0.3">
      <c r="B187" s="360" t="s">
        <v>189</v>
      </c>
      <c r="C187" s="360"/>
      <c r="D187" s="173"/>
      <c r="E187" s="173"/>
      <c r="F187" s="173"/>
      <c r="G187" s="363" t="s">
        <v>190</v>
      </c>
      <c r="H187" s="363"/>
      <c r="I187" s="363"/>
      <c r="J187" s="173"/>
      <c r="K187" s="173"/>
      <c r="L187" s="360" t="s">
        <v>191</v>
      </c>
      <c r="M187" s="360"/>
      <c r="N187" s="363" t="s">
        <v>192</v>
      </c>
      <c r="O187" s="363"/>
      <c r="P187" s="363"/>
      <c r="Q187" s="363"/>
      <c r="R187" s="173"/>
      <c r="S187" s="173"/>
      <c r="T187" s="173"/>
    </row>
    <row r="188" spans="2:20" x14ac:dyDescent="0.3">
      <c r="B188" s="173"/>
      <c r="C188" s="173"/>
      <c r="D188" s="173"/>
      <c r="E188" s="360" t="s">
        <v>194</v>
      </c>
      <c r="F188" s="360"/>
      <c r="G188" s="173">
        <v>2</v>
      </c>
      <c r="H188" s="173"/>
      <c r="I188" s="173"/>
      <c r="J188" s="173"/>
      <c r="K188" s="173"/>
      <c r="L188" s="360" t="s">
        <v>195</v>
      </c>
      <c r="M188" s="360"/>
      <c r="N188" s="363" t="s">
        <v>196</v>
      </c>
      <c r="O188" s="363"/>
      <c r="P188" s="363"/>
      <c r="Q188" s="363"/>
      <c r="R188" s="363"/>
      <c r="S188" s="363"/>
      <c r="T188" s="363"/>
    </row>
    <row r="189" spans="2:20" x14ac:dyDescent="0.3">
      <c r="B189" s="174" t="s">
        <v>0</v>
      </c>
      <c r="C189" s="361" t="s">
        <v>198</v>
      </c>
      <c r="D189" s="361"/>
      <c r="E189" s="361" t="s">
        <v>199</v>
      </c>
      <c r="F189" s="361" t="s">
        <v>200</v>
      </c>
      <c r="G189" s="361"/>
      <c r="H189" s="361"/>
      <c r="I189" s="174" t="s">
        <v>201</v>
      </c>
      <c r="J189" s="361" t="s">
        <v>202</v>
      </c>
      <c r="K189" s="361"/>
      <c r="L189" s="361"/>
      <c r="M189" s="361"/>
      <c r="N189" s="361"/>
      <c r="O189" s="361" t="s">
        <v>203</v>
      </c>
      <c r="P189" s="361"/>
      <c r="Q189" s="361"/>
      <c r="R189" s="361"/>
      <c r="S189" s="361"/>
      <c r="T189" s="361"/>
    </row>
    <row r="190" spans="2:20" ht="52.8" x14ac:dyDescent="0.3">
      <c r="B190" s="174" t="s">
        <v>245</v>
      </c>
      <c r="C190" s="361"/>
      <c r="D190" s="361"/>
      <c r="E190" s="361"/>
      <c r="F190" s="174" t="s">
        <v>204</v>
      </c>
      <c r="G190" s="174" t="s">
        <v>205</v>
      </c>
      <c r="H190" s="174" t="s">
        <v>206</v>
      </c>
      <c r="I190" s="174" t="s">
        <v>207</v>
      </c>
      <c r="J190" s="174" t="s">
        <v>208</v>
      </c>
      <c r="K190" s="174" t="s">
        <v>209</v>
      </c>
      <c r="L190" s="174" t="s">
        <v>210</v>
      </c>
      <c r="M190" s="174" t="s">
        <v>211</v>
      </c>
      <c r="N190" s="174" t="s">
        <v>212</v>
      </c>
      <c r="O190" s="174" t="s">
        <v>213</v>
      </c>
      <c r="P190" s="174" t="s">
        <v>214</v>
      </c>
      <c r="Q190" s="174" t="s">
        <v>215</v>
      </c>
      <c r="R190" s="174" t="s">
        <v>216</v>
      </c>
      <c r="S190" s="174" t="s">
        <v>217</v>
      </c>
      <c r="T190" s="174" t="s">
        <v>218</v>
      </c>
    </row>
    <row r="191" spans="2:20" x14ac:dyDescent="0.3">
      <c r="B191" s="175">
        <v>1</v>
      </c>
      <c r="C191" s="362">
        <v>2</v>
      </c>
      <c r="D191" s="362"/>
      <c r="E191" s="175">
        <v>3</v>
      </c>
      <c r="F191" s="175">
        <v>4</v>
      </c>
      <c r="G191" s="175">
        <v>5</v>
      </c>
      <c r="H191" s="175">
        <v>6</v>
      </c>
      <c r="I191" s="175">
        <v>7</v>
      </c>
      <c r="J191" s="175">
        <v>8</v>
      </c>
      <c r="K191" s="175">
        <v>9</v>
      </c>
      <c r="L191" s="175">
        <v>10</v>
      </c>
      <c r="M191" s="175">
        <v>11</v>
      </c>
      <c r="N191" s="175">
        <v>12</v>
      </c>
      <c r="O191" s="175">
        <v>13</v>
      </c>
      <c r="P191" s="175">
        <v>14</v>
      </c>
      <c r="Q191" s="175">
        <v>15</v>
      </c>
      <c r="R191" s="175">
        <v>16</v>
      </c>
      <c r="S191" s="175">
        <v>17</v>
      </c>
      <c r="T191" s="175">
        <v>18</v>
      </c>
    </row>
    <row r="192" spans="2:20" x14ac:dyDescent="0.3">
      <c r="B192" s="360" t="s">
        <v>219</v>
      </c>
      <c r="C192" s="360"/>
      <c r="D192" s="360"/>
      <c r="E192" s="360"/>
      <c r="F192" s="360"/>
      <c r="G192" s="360"/>
      <c r="H192" s="360"/>
      <c r="I192" s="360"/>
      <c r="J192" s="360"/>
      <c r="K192" s="360"/>
      <c r="L192" s="360"/>
      <c r="M192" s="360"/>
      <c r="N192" s="360"/>
      <c r="O192" s="360"/>
      <c r="P192" s="360"/>
      <c r="Q192" s="360"/>
      <c r="R192" s="360"/>
      <c r="S192" s="360"/>
      <c r="T192" s="360"/>
    </row>
    <row r="193" spans="2:20" s="393" customFormat="1" ht="18.75" customHeight="1" x14ac:dyDescent="0.3">
      <c r="B193" s="188">
        <v>338</v>
      </c>
      <c r="C193" s="366" t="s">
        <v>357</v>
      </c>
      <c r="D193" s="366"/>
      <c r="E193" s="188">
        <v>100</v>
      </c>
      <c r="F193" s="188">
        <v>0.9</v>
      </c>
      <c r="G193" s="188">
        <v>0.2</v>
      </c>
      <c r="H193" s="188">
        <v>8.1</v>
      </c>
      <c r="I193" s="188">
        <v>37.799999999999997</v>
      </c>
      <c r="J193" s="188">
        <v>0.04</v>
      </c>
      <c r="K193" s="188">
        <v>0.03</v>
      </c>
      <c r="L193" s="188">
        <v>60</v>
      </c>
      <c r="M193" s="188">
        <v>0.01</v>
      </c>
      <c r="N193" s="188">
        <v>0.2</v>
      </c>
      <c r="O193" s="188">
        <v>34</v>
      </c>
      <c r="P193" s="188">
        <v>23</v>
      </c>
      <c r="Q193" s="188">
        <v>0.2</v>
      </c>
      <c r="R193" s="188">
        <v>0</v>
      </c>
      <c r="S193" s="188">
        <v>15</v>
      </c>
      <c r="T193" s="188">
        <v>0.3</v>
      </c>
    </row>
    <row r="194" spans="2:20" s="176" customFormat="1" ht="24.75" customHeight="1" x14ac:dyDescent="0.3">
      <c r="B194" s="177">
        <v>15</v>
      </c>
      <c r="C194" s="352" t="s">
        <v>221</v>
      </c>
      <c r="D194" s="352"/>
      <c r="E194" s="177">
        <v>20</v>
      </c>
      <c r="F194" s="177">
        <v>4.6399999999999997</v>
      </c>
      <c r="G194" s="177">
        <v>6.8</v>
      </c>
      <c r="H194" s="177">
        <v>0.02</v>
      </c>
      <c r="I194" s="177">
        <v>79.8</v>
      </c>
      <c r="J194" s="177">
        <v>0.01</v>
      </c>
      <c r="K194" s="177">
        <v>0.06</v>
      </c>
      <c r="L194" s="177">
        <v>0.14000000000000001</v>
      </c>
      <c r="M194" s="177">
        <v>4.5999999999999999E-2</v>
      </c>
      <c r="N194" s="177">
        <v>0.1</v>
      </c>
      <c r="O194" s="177">
        <v>176</v>
      </c>
      <c r="P194" s="177">
        <v>100</v>
      </c>
      <c r="Q194" s="177">
        <v>0.8</v>
      </c>
      <c r="R194" s="177">
        <v>0.04</v>
      </c>
      <c r="S194" s="177">
        <v>7</v>
      </c>
      <c r="T194" s="177">
        <v>0.26</v>
      </c>
    </row>
    <row r="195" spans="2:20" ht="27" customHeight="1" x14ac:dyDescent="0.3">
      <c r="B195" s="173">
        <v>173</v>
      </c>
      <c r="C195" s="359" t="s">
        <v>301</v>
      </c>
      <c r="D195" s="359"/>
      <c r="E195" s="173">
        <v>200</v>
      </c>
      <c r="F195" s="173">
        <v>7.3</v>
      </c>
      <c r="G195" s="173">
        <v>12.5</v>
      </c>
      <c r="H195" s="173">
        <v>54.3</v>
      </c>
      <c r="I195" s="173">
        <v>345.3</v>
      </c>
      <c r="J195" s="173">
        <v>0.1</v>
      </c>
      <c r="K195" s="173">
        <v>0.2</v>
      </c>
      <c r="L195" s="173">
        <v>3.4</v>
      </c>
      <c r="M195" s="173">
        <v>3.6999999999999998E-2</v>
      </c>
      <c r="N195" s="173">
        <v>1.3</v>
      </c>
      <c r="O195" s="173">
        <v>147.6</v>
      </c>
      <c r="P195" s="173">
        <v>198.6</v>
      </c>
      <c r="Q195" s="173">
        <v>0</v>
      </c>
      <c r="R195" s="173">
        <v>0</v>
      </c>
      <c r="S195" s="173">
        <v>57.8</v>
      </c>
      <c r="T195" s="173">
        <v>1.3</v>
      </c>
    </row>
    <row r="196" spans="2:20" ht="18.75" customHeight="1" x14ac:dyDescent="0.3">
      <c r="B196" s="173">
        <v>379</v>
      </c>
      <c r="C196" s="359" t="s">
        <v>250</v>
      </c>
      <c r="D196" s="359"/>
      <c r="E196" s="173">
        <v>200</v>
      </c>
      <c r="F196" s="173">
        <v>2.8</v>
      </c>
      <c r="G196" s="173">
        <v>3.2</v>
      </c>
      <c r="H196" s="173">
        <v>24.66</v>
      </c>
      <c r="I196" s="173">
        <v>132.47999999999999</v>
      </c>
      <c r="J196" s="173">
        <v>0.04</v>
      </c>
      <c r="K196" s="173">
        <v>0.15</v>
      </c>
      <c r="L196" s="173">
        <v>1.3</v>
      </c>
      <c r="M196" s="173">
        <v>0.03</v>
      </c>
      <c r="N196" s="173">
        <v>0.06</v>
      </c>
      <c r="O196" s="173">
        <v>120.4</v>
      </c>
      <c r="P196" s="173">
        <v>90</v>
      </c>
      <c r="Q196" s="173">
        <v>1.1000000000000001</v>
      </c>
      <c r="R196" s="173">
        <v>0.01</v>
      </c>
      <c r="S196" s="173">
        <v>14</v>
      </c>
      <c r="T196" s="173">
        <v>0.12</v>
      </c>
    </row>
    <row r="197" spans="2:20" ht="19.5" customHeight="1" x14ac:dyDescent="0.3">
      <c r="B197" s="173" t="s">
        <v>224</v>
      </c>
      <c r="C197" s="359" t="s">
        <v>302</v>
      </c>
      <c r="D197" s="359"/>
      <c r="E197" s="173">
        <v>40</v>
      </c>
      <c r="F197" s="173">
        <v>2.67</v>
      </c>
      <c r="G197" s="173">
        <v>0.53</v>
      </c>
      <c r="H197" s="173">
        <v>13.73</v>
      </c>
      <c r="I197" s="173">
        <v>70.400000000000006</v>
      </c>
      <c r="J197" s="173">
        <v>0.13</v>
      </c>
      <c r="K197" s="173">
        <v>1.2999999999999999E-2</v>
      </c>
      <c r="L197" s="173">
        <v>0.1</v>
      </c>
      <c r="M197" s="173">
        <v>0</v>
      </c>
      <c r="N197" s="173">
        <v>0.93</v>
      </c>
      <c r="O197" s="173">
        <v>14</v>
      </c>
      <c r="P197" s="173">
        <v>63.2</v>
      </c>
      <c r="Q197" s="173">
        <v>1.2999999999999999E-2</v>
      </c>
      <c r="R197" s="173">
        <v>1.2999999999999999E-2</v>
      </c>
      <c r="S197" s="173">
        <v>18.8</v>
      </c>
      <c r="T197" s="173">
        <v>1.6</v>
      </c>
    </row>
    <row r="198" spans="2:20" x14ac:dyDescent="0.3">
      <c r="B198" s="360" t="s">
        <v>225</v>
      </c>
      <c r="C198" s="360"/>
      <c r="D198" s="360"/>
      <c r="E198" s="189">
        <f>SUM(E193:E197)</f>
        <v>560</v>
      </c>
      <c r="F198" s="189">
        <f t="shared" ref="F198:T198" si="47">SUM(F193:F197)</f>
        <v>18.310000000000002</v>
      </c>
      <c r="G198" s="189">
        <f t="shared" si="47"/>
        <v>23.23</v>
      </c>
      <c r="H198" s="189">
        <f t="shared" si="47"/>
        <v>100.81</v>
      </c>
      <c r="I198" s="189">
        <f t="shared" si="47"/>
        <v>665.78</v>
      </c>
      <c r="J198" s="189">
        <f t="shared" si="47"/>
        <v>0.32000000000000006</v>
      </c>
      <c r="K198" s="189">
        <f t="shared" si="47"/>
        <v>0.45300000000000007</v>
      </c>
      <c r="L198" s="189">
        <f t="shared" si="47"/>
        <v>64.94</v>
      </c>
      <c r="M198" s="189">
        <f t="shared" si="47"/>
        <v>0.123</v>
      </c>
      <c r="N198" s="189">
        <f t="shared" si="47"/>
        <v>2.5900000000000003</v>
      </c>
      <c r="O198" s="189">
        <f t="shared" si="47"/>
        <v>492</v>
      </c>
      <c r="P198" s="189">
        <f t="shared" si="47"/>
        <v>474.8</v>
      </c>
      <c r="Q198" s="189">
        <f t="shared" si="47"/>
        <v>2.113</v>
      </c>
      <c r="R198" s="189">
        <f t="shared" si="47"/>
        <v>6.3E-2</v>
      </c>
      <c r="S198" s="189">
        <f t="shared" si="47"/>
        <v>112.6</v>
      </c>
      <c r="T198" s="189">
        <f t="shared" si="47"/>
        <v>3.58</v>
      </c>
    </row>
    <row r="199" spans="2:20" x14ac:dyDescent="0.3">
      <c r="B199" s="360" t="s">
        <v>226</v>
      </c>
      <c r="C199" s="360"/>
      <c r="D199" s="360"/>
      <c r="E199" s="360"/>
      <c r="F199" s="190">
        <f t="shared" ref="F199:T199" si="48">F198/F217</f>
        <v>0.23779220779220783</v>
      </c>
      <c r="G199" s="190">
        <f t="shared" si="48"/>
        <v>0.29405063291139238</v>
      </c>
      <c r="H199" s="190">
        <f t="shared" si="48"/>
        <v>0.30092537313432838</v>
      </c>
      <c r="I199" s="190">
        <f t="shared" si="48"/>
        <v>0.28331063829787234</v>
      </c>
      <c r="J199" s="190">
        <f t="shared" si="48"/>
        <v>0.26666666666666672</v>
      </c>
      <c r="K199" s="190">
        <f t="shared" si="48"/>
        <v>0.32357142857142862</v>
      </c>
      <c r="L199" s="191">
        <f t="shared" si="48"/>
        <v>1.0823333333333334</v>
      </c>
      <c r="M199" s="190">
        <f t="shared" si="48"/>
        <v>0.17571428571428571</v>
      </c>
      <c r="N199" s="190">
        <f t="shared" si="48"/>
        <v>0.25900000000000001</v>
      </c>
      <c r="O199" s="190">
        <f t="shared" si="48"/>
        <v>0.44727272727272727</v>
      </c>
      <c r="P199" s="190">
        <f t="shared" si="48"/>
        <v>0.43163636363636365</v>
      </c>
      <c r="Q199" s="190">
        <f t="shared" si="48"/>
        <v>0.21129999999999999</v>
      </c>
      <c r="R199" s="190">
        <f t="shared" si="48"/>
        <v>0.63</v>
      </c>
      <c r="S199" s="190">
        <f t="shared" si="48"/>
        <v>0.45039999999999997</v>
      </c>
      <c r="T199" s="190">
        <f t="shared" si="48"/>
        <v>0.29833333333333334</v>
      </c>
    </row>
    <row r="200" spans="2:20" x14ac:dyDescent="0.3">
      <c r="B200" s="360" t="s">
        <v>227</v>
      </c>
      <c r="C200" s="360"/>
      <c r="D200" s="360"/>
      <c r="E200" s="360"/>
      <c r="F200" s="360"/>
      <c r="G200" s="360"/>
      <c r="H200" s="360"/>
      <c r="I200" s="360"/>
      <c r="J200" s="360"/>
      <c r="K200" s="360"/>
      <c r="L200" s="360"/>
      <c r="M200" s="360"/>
      <c r="N200" s="360"/>
      <c r="O200" s="360"/>
      <c r="P200" s="360"/>
      <c r="Q200" s="360"/>
      <c r="R200" s="360"/>
      <c r="S200" s="360"/>
      <c r="T200" s="360"/>
    </row>
    <row r="201" spans="2:20" ht="20.25" customHeight="1" x14ac:dyDescent="0.3">
      <c r="B201" s="173" t="s">
        <v>268</v>
      </c>
      <c r="C201" s="359" t="s">
        <v>269</v>
      </c>
      <c r="D201" s="359"/>
      <c r="E201" s="173">
        <v>60</v>
      </c>
      <c r="F201" s="173">
        <v>0.5</v>
      </c>
      <c r="G201" s="173">
        <v>3.02</v>
      </c>
      <c r="H201" s="173">
        <v>1.1000000000000001</v>
      </c>
      <c r="I201" s="173">
        <v>33.6</v>
      </c>
      <c r="J201" s="173">
        <v>0.09</v>
      </c>
      <c r="K201" s="173">
        <v>0.02</v>
      </c>
      <c r="L201" s="173">
        <v>4.25</v>
      </c>
      <c r="M201" s="173">
        <v>0.09</v>
      </c>
      <c r="N201" s="173"/>
      <c r="O201" s="173">
        <v>20.38</v>
      </c>
      <c r="P201" s="173">
        <v>13.93</v>
      </c>
      <c r="Q201" s="173"/>
      <c r="R201" s="173">
        <v>0</v>
      </c>
      <c r="S201" s="173">
        <v>8.35</v>
      </c>
      <c r="T201" s="173">
        <v>0.38</v>
      </c>
    </row>
    <row r="202" spans="2:20" ht="30" customHeight="1" x14ac:dyDescent="0.3">
      <c r="B202" s="173">
        <v>24</v>
      </c>
      <c r="C202" s="359" t="s">
        <v>270</v>
      </c>
      <c r="D202" s="359"/>
      <c r="E202" s="173">
        <v>60</v>
      </c>
      <c r="F202" s="173">
        <v>0.3</v>
      </c>
      <c r="G202" s="173">
        <v>2</v>
      </c>
      <c r="H202" s="173">
        <v>1.6</v>
      </c>
      <c r="I202" s="173">
        <v>25.6</v>
      </c>
      <c r="J202" s="173">
        <v>0.06</v>
      </c>
      <c r="K202" s="173">
        <v>0.04</v>
      </c>
      <c r="L202" s="173">
        <v>12.4</v>
      </c>
      <c r="M202" s="173">
        <v>0</v>
      </c>
      <c r="N202" s="173">
        <v>1.5</v>
      </c>
      <c r="O202" s="173">
        <v>28.2</v>
      </c>
      <c r="P202" s="173">
        <v>32.299999999999997</v>
      </c>
      <c r="Q202" s="173">
        <v>0.3</v>
      </c>
      <c r="R202" s="173">
        <v>0</v>
      </c>
      <c r="S202" s="173">
        <v>18.600000000000001</v>
      </c>
      <c r="T202" s="173">
        <v>0.5</v>
      </c>
    </row>
    <row r="203" spans="2:20" ht="18.75" customHeight="1" x14ac:dyDescent="0.3">
      <c r="B203" s="173">
        <v>84</v>
      </c>
      <c r="C203" s="359" t="s">
        <v>303</v>
      </c>
      <c r="D203" s="359"/>
      <c r="E203" s="173">
        <v>200</v>
      </c>
      <c r="F203" s="173">
        <v>1.77</v>
      </c>
      <c r="G203" s="173">
        <v>2.65</v>
      </c>
      <c r="H203" s="173">
        <v>12.74</v>
      </c>
      <c r="I203" s="173">
        <v>81.89</v>
      </c>
      <c r="J203" s="173">
        <v>0.05</v>
      </c>
      <c r="K203" s="173">
        <v>0.05</v>
      </c>
      <c r="L203" s="173">
        <v>19</v>
      </c>
      <c r="M203" s="173">
        <v>0.74</v>
      </c>
      <c r="N203" s="173">
        <v>0.1</v>
      </c>
      <c r="O203" s="173">
        <v>43.11</v>
      </c>
      <c r="P203" s="173">
        <v>48.75</v>
      </c>
      <c r="Q203" s="173">
        <v>1.3</v>
      </c>
      <c r="R203" s="173">
        <v>3.0000000000000001E-3</v>
      </c>
      <c r="S203" s="173">
        <v>22.44</v>
      </c>
      <c r="T203" s="173">
        <v>0.8</v>
      </c>
    </row>
    <row r="204" spans="2:20" ht="18.75" customHeight="1" x14ac:dyDescent="0.3">
      <c r="B204" s="173">
        <v>260</v>
      </c>
      <c r="C204" s="359" t="s">
        <v>232</v>
      </c>
      <c r="D204" s="359"/>
      <c r="E204" s="173">
        <v>90</v>
      </c>
      <c r="F204" s="173">
        <v>11.295</v>
      </c>
      <c r="G204" s="173">
        <v>11.691000000000001</v>
      </c>
      <c r="H204" s="173">
        <v>3.609</v>
      </c>
      <c r="I204" s="173">
        <v>164.25</v>
      </c>
      <c r="J204" s="173">
        <v>6.3E-2</v>
      </c>
      <c r="K204" s="173">
        <v>9.9000000000000005E-2</v>
      </c>
      <c r="L204" s="173">
        <v>4.5629999999999997</v>
      </c>
      <c r="M204" s="173">
        <v>1.341</v>
      </c>
      <c r="N204" s="173">
        <v>2.0249999999999999</v>
      </c>
      <c r="O204" s="173">
        <v>27.468</v>
      </c>
      <c r="P204" s="173">
        <v>107.271</v>
      </c>
      <c r="Q204" s="173"/>
      <c r="R204" s="173"/>
      <c r="S204" s="173">
        <v>21.626999999999999</v>
      </c>
      <c r="T204" s="173">
        <v>1.89</v>
      </c>
    </row>
    <row r="205" spans="2:20" ht="25.5" customHeight="1" x14ac:dyDescent="0.3">
      <c r="B205" s="173">
        <v>203</v>
      </c>
      <c r="C205" s="359" t="s">
        <v>304</v>
      </c>
      <c r="D205" s="359"/>
      <c r="E205" s="173">
        <v>150</v>
      </c>
      <c r="F205" s="173">
        <v>5.52</v>
      </c>
      <c r="G205" s="173">
        <v>4.5199999999999996</v>
      </c>
      <c r="H205" s="173">
        <v>26.45</v>
      </c>
      <c r="I205" s="173">
        <v>168.56</v>
      </c>
      <c r="J205" s="173">
        <v>0.09</v>
      </c>
      <c r="K205" s="173">
        <v>0.03</v>
      </c>
      <c r="L205" s="173">
        <v>0</v>
      </c>
      <c r="M205" s="173">
        <v>3.3000000000000002E-2</v>
      </c>
      <c r="N205" s="173">
        <v>1.25</v>
      </c>
      <c r="O205" s="173">
        <v>13.3</v>
      </c>
      <c r="P205" s="173">
        <v>46.21</v>
      </c>
      <c r="Q205" s="173">
        <v>0.01</v>
      </c>
      <c r="R205" s="173">
        <v>2E-3</v>
      </c>
      <c r="S205" s="173">
        <v>8.4700000000000006</v>
      </c>
      <c r="T205" s="173">
        <v>0.86</v>
      </c>
    </row>
    <row r="206" spans="2:20" ht="27.75" customHeight="1" x14ac:dyDescent="0.3">
      <c r="B206" s="173">
        <v>648</v>
      </c>
      <c r="C206" s="359" t="s">
        <v>294</v>
      </c>
      <c r="D206" s="359"/>
      <c r="E206" s="173">
        <v>200</v>
      </c>
      <c r="F206" s="173">
        <v>0</v>
      </c>
      <c r="G206" s="173">
        <v>0</v>
      </c>
      <c r="H206" s="173">
        <v>20</v>
      </c>
      <c r="I206" s="173">
        <v>76</v>
      </c>
      <c r="J206" s="173">
        <v>0</v>
      </c>
      <c r="K206" s="173">
        <v>0</v>
      </c>
      <c r="L206" s="173">
        <v>0</v>
      </c>
      <c r="M206" s="173">
        <v>0</v>
      </c>
      <c r="N206" s="173"/>
      <c r="O206" s="173">
        <v>0.48</v>
      </c>
      <c r="P206" s="173">
        <v>0</v>
      </c>
      <c r="Q206" s="173">
        <v>0</v>
      </c>
      <c r="R206" s="173">
        <v>0</v>
      </c>
      <c r="S206" s="173">
        <v>0</v>
      </c>
      <c r="T206" s="173">
        <v>0.06</v>
      </c>
    </row>
    <row r="207" spans="2:20" ht="19.5" customHeight="1" x14ac:dyDescent="0.3">
      <c r="B207" s="173" t="s">
        <v>224</v>
      </c>
      <c r="C207" s="359" t="s">
        <v>235</v>
      </c>
      <c r="D207" s="359"/>
      <c r="E207" s="173">
        <v>40</v>
      </c>
      <c r="F207" s="173">
        <v>2.64</v>
      </c>
      <c r="G207" s="173">
        <v>0.48</v>
      </c>
      <c r="H207" s="173">
        <v>13.68</v>
      </c>
      <c r="I207" s="173">
        <v>69.599999999999994</v>
      </c>
      <c r="J207" s="173">
        <v>0.08</v>
      </c>
      <c r="K207" s="173">
        <v>0.04</v>
      </c>
      <c r="L207" s="173">
        <v>0</v>
      </c>
      <c r="M207" s="173">
        <v>0</v>
      </c>
      <c r="N207" s="173">
        <v>2.4</v>
      </c>
      <c r="O207" s="173">
        <v>14</v>
      </c>
      <c r="P207" s="173">
        <v>63.2</v>
      </c>
      <c r="Q207" s="173">
        <v>1.2</v>
      </c>
      <c r="R207" s="173">
        <v>1E-3</v>
      </c>
      <c r="S207" s="173">
        <v>9.4</v>
      </c>
      <c r="T207" s="173">
        <v>0.78</v>
      </c>
    </row>
    <row r="208" spans="2:20" x14ac:dyDescent="0.3">
      <c r="B208" s="173" t="s">
        <v>224</v>
      </c>
      <c r="C208" s="359" t="s">
        <v>117</v>
      </c>
      <c r="D208" s="359"/>
      <c r="E208" s="173">
        <v>30</v>
      </c>
      <c r="F208" s="173">
        <v>1.52</v>
      </c>
      <c r="G208" s="173">
        <v>0.16</v>
      </c>
      <c r="H208" s="173">
        <v>9.84</v>
      </c>
      <c r="I208" s="173">
        <v>46.9</v>
      </c>
      <c r="J208" s="173">
        <v>0.02</v>
      </c>
      <c r="K208" s="173">
        <v>0.01</v>
      </c>
      <c r="L208" s="173">
        <v>0.44</v>
      </c>
      <c r="M208" s="173">
        <v>0</v>
      </c>
      <c r="N208" s="173">
        <v>0.7</v>
      </c>
      <c r="O208" s="173">
        <v>4</v>
      </c>
      <c r="P208" s="173">
        <v>13</v>
      </c>
      <c r="Q208" s="173">
        <v>8.0000000000000002E-3</v>
      </c>
      <c r="R208" s="173">
        <v>1E-3</v>
      </c>
      <c r="S208" s="173">
        <v>0</v>
      </c>
      <c r="T208" s="173">
        <v>0.22</v>
      </c>
    </row>
    <row r="209" spans="2:20" ht="25.5" customHeight="1" x14ac:dyDescent="0.3">
      <c r="B209" s="360" t="s">
        <v>236</v>
      </c>
      <c r="C209" s="360"/>
      <c r="D209" s="360"/>
      <c r="E209" s="189">
        <f>E202+E203+E204+E205+E206+E207+E208</f>
        <v>770</v>
      </c>
      <c r="F209" s="189">
        <f t="shared" ref="F209:T209" si="49">F202+F203+F204+F205+F206+F207+F208</f>
        <v>23.044999999999998</v>
      </c>
      <c r="G209" s="189">
        <f t="shared" si="49"/>
        <v>21.501000000000001</v>
      </c>
      <c r="H209" s="189">
        <f t="shared" si="49"/>
        <v>87.919000000000011</v>
      </c>
      <c r="I209" s="189">
        <f t="shared" si="49"/>
        <v>632.79999999999995</v>
      </c>
      <c r="J209" s="189">
        <f t="shared" si="49"/>
        <v>0.36300000000000004</v>
      </c>
      <c r="K209" s="189">
        <f t="shared" si="49"/>
        <v>0.26900000000000002</v>
      </c>
      <c r="L209" s="189">
        <f t="shared" si="49"/>
        <v>36.402999999999999</v>
      </c>
      <c r="M209" s="189">
        <f t="shared" si="49"/>
        <v>2.1139999999999999</v>
      </c>
      <c r="N209" s="189">
        <f t="shared" si="49"/>
        <v>7.9750000000000005</v>
      </c>
      <c r="O209" s="189">
        <f t="shared" si="49"/>
        <v>130.55799999999999</v>
      </c>
      <c r="P209" s="189">
        <f t="shared" si="49"/>
        <v>310.73099999999999</v>
      </c>
      <c r="Q209" s="189">
        <f t="shared" si="49"/>
        <v>2.8180000000000001</v>
      </c>
      <c r="R209" s="189">
        <f t="shared" si="49"/>
        <v>7.0000000000000001E-3</v>
      </c>
      <c r="S209" s="189">
        <f t="shared" si="49"/>
        <v>80.537000000000006</v>
      </c>
      <c r="T209" s="189">
        <f t="shared" si="49"/>
        <v>5.1099999999999994</v>
      </c>
    </row>
    <row r="210" spans="2:20" x14ac:dyDescent="0.3">
      <c r="B210" s="360" t="s">
        <v>226</v>
      </c>
      <c r="C210" s="360"/>
      <c r="D210" s="360"/>
      <c r="E210" s="360"/>
      <c r="F210" s="190">
        <f t="shared" ref="F210:T210" si="50">F209/F217</f>
        <v>0.29928571428571427</v>
      </c>
      <c r="G210" s="190">
        <f t="shared" si="50"/>
        <v>0.27216455696202535</v>
      </c>
      <c r="H210" s="190">
        <f t="shared" si="50"/>
        <v>0.26244477611940303</v>
      </c>
      <c r="I210" s="190">
        <f t="shared" si="50"/>
        <v>0.26927659574468082</v>
      </c>
      <c r="J210" s="190">
        <f t="shared" si="50"/>
        <v>0.30250000000000005</v>
      </c>
      <c r="K210" s="190">
        <f t="shared" si="50"/>
        <v>0.19214285714285717</v>
      </c>
      <c r="L210" s="190">
        <f t="shared" si="50"/>
        <v>0.60671666666666668</v>
      </c>
      <c r="M210" s="191">
        <f t="shared" si="50"/>
        <v>3.02</v>
      </c>
      <c r="N210" s="190">
        <f t="shared" si="50"/>
        <v>0.7975000000000001</v>
      </c>
      <c r="O210" s="190">
        <f t="shared" si="50"/>
        <v>0.1186890909090909</v>
      </c>
      <c r="P210" s="190">
        <f t="shared" si="50"/>
        <v>0.28248272727272727</v>
      </c>
      <c r="Q210" s="190">
        <f t="shared" si="50"/>
        <v>0.28179999999999999</v>
      </c>
      <c r="R210" s="190">
        <f t="shared" si="50"/>
        <v>6.9999999999999993E-2</v>
      </c>
      <c r="S210" s="190">
        <f t="shared" si="50"/>
        <v>0.32214800000000005</v>
      </c>
      <c r="T210" s="190">
        <f t="shared" si="50"/>
        <v>0.42583333333333329</v>
      </c>
    </row>
    <row r="211" spans="2:20" x14ac:dyDescent="0.3">
      <c r="B211" s="360" t="s">
        <v>237</v>
      </c>
      <c r="C211" s="360"/>
      <c r="D211" s="360"/>
      <c r="E211" s="360"/>
      <c r="F211" s="360"/>
      <c r="G211" s="360"/>
      <c r="H211" s="360"/>
      <c r="I211" s="360"/>
      <c r="J211" s="360"/>
      <c r="K211" s="360"/>
      <c r="L211" s="360"/>
      <c r="M211" s="360"/>
      <c r="N211" s="360"/>
      <c r="O211" s="360"/>
      <c r="P211" s="360"/>
      <c r="Q211" s="360"/>
      <c r="R211" s="360"/>
      <c r="S211" s="360"/>
      <c r="T211" s="360"/>
    </row>
    <row r="212" spans="2:20" ht="17.25" customHeight="1" x14ac:dyDescent="0.3">
      <c r="B212" s="177" t="s">
        <v>224</v>
      </c>
      <c r="C212" s="352" t="s">
        <v>257</v>
      </c>
      <c r="D212" s="352"/>
      <c r="E212" s="177">
        <v>80</v>
      </c>
      <c r="F212" s="177">
        <v>5.95</v>
      </c>
      <c r="G212" s="177">
        <v>6.05</v>
      </c>
      <c r="H212" s="177">
        <v>38.22</v>
      </c>
      <c r="I212" s="177">
        <v>231.11</v>
      </c>
      <c r="J212" s="177">
        <v>0.06</v>
      </c>
      <c r="K212" s="177">
        <v>0.06</v>
      </c>
      <c r="L212" s="177">
        <v>0.02</v>
      </c>
      <c r="M212" s="177">
        <v>0.06</v>
      </c>
      <c r="N212" s="177"/>
      <c r="O212" s="177">
        <v>19.489999999999998</v>
      </c>
      <c r="P212" s="177">
        <v>55.89</v>
      </c>
      <c r="Q212" s="177"/>
      <c r="R212" s="177">
        <v>0</v>
      </c>
      <c r="S212" s="177">
        <v>8.27</v>
      </c>
      <c r="T212" s="177">
        <v>0.7</v>
      </c>
    </row>
    <row r="213" spans="2:20" ht="17.25" customHeight="1" x14ac:dyDescent="0.3">
      <c r="B213" s="173">
        <v>376</v>
      </c>
      <c r="C213" s="359" t="s">
        <v>141</v>
      </c>
      <c r="D213" s="359"/>
      <c r="E213" s="173">
        <v>200</v>
      </c>
      <c r="F213" s="173">
        <v>0.2</v>
      </c>
      <c r="G213" s="173">
        <v>0.05</v>
      </c>
      <c r="H213" s="173">
        <v>15.01</v>
      </c>
      <c r="I213" s="173">
        <v>61</v>
      </c>
      <c r="J213" s="173">
        <v>0</v>
      </c>
      <c r="K213" s="173">
        <v>0.01</v>
      </c>
      <c r="L213" s="173">
        <v>9</v>
      </c>
      <c r="M213" s="173">
        <v>1E-4</v>
      </c>
      <c r="N213" s="173">
        <v>4.4999999999999998E-2</v>
      </c>
      <c r="O213" s="173">
        <v>5.25</v>
      </c>
      <c r="P213" s="173">
        <v>8.24</v>
      </c>
      <c r="Q213" s="173">
        <v>8.0000000000000002E-3</v>
      </c>
      <c r="R213" s="173">
        <v>0</v>
      </c>
      <c r="S213" s="173">
        <v>4.4000000000000004</v>
      </c>
      <c r="T213" s="173">
        <v>0.87</v>
      </c>
    </row>
    <row r="214" spans="2:20" ht="15" customHeight="1" x14ac:dyDescent="0.3">
      <c r="B214" s="356" t="s">
        <v>240</v>
      </c>
      <c r="C214" s="357"/>
      <c r="D214" s="358"/>
      <c r="E214" s="178">
        <f>SUM(E212:E213)</f>
        <v>280</v>
      </c>
      <c r="F214" s="178">
        <f t="shared" ref="F214:T214" si="51">SUM(F212:F213)</f>
        <v>6.15</v>
      </c>
      <c r="G214" s="178">
        <f t="shared" si="51"/>
        <v>6.1</v>
      </c>
      <c r="H214" s="178">
        <f t="shared" si="51"/>
        <v>53.23</v>
      </c>
      <c r="I214" s="178">
        <f t="shared" si="51"/>
        <v>292.11</v>
      </c>
      <c r="J214" s="178">
        <f t="shared" si="51"/>
        <v>0.06</v>
      </c>
      <c r="K214" s="178">
        <f t="shared" si="51"/>
        <v>6.9999999999999993E-2</v>
      </c>
      <c r="L214" s="178">
        <f t="shared" si="51"/>
        <v>9.02</v>
      </c>
      <c r="M214" s="178">
        <f t="shared" si="51"/>
        <v>6.0100000000000001E-2</v>
      </c>
      <c r="N214" s="178">
        <f t="shared" si="51"/>
        <v>4.4999999999999998E-2</v>
      </c>
      <c r="O214" s="178">
        <f t="shared" si="51"/>
        <v>24.74</v>
      </c>
      <c r="P214" s="178">
        <f t="shared" si="51"/>
        <v>64.13</v>
      </c>
      <c r="Q214" s="178">
        <f t="shared" si="51"/>
        <v>8.0000000000000002E-3</v>
      </c>
      <c r="R214" s="178">
        <f t="shared" si="51"/>
        <v>0</v>
      </c>
      <c r="S214" s="178">
        <f t="shared" si="51"/>
        <v>12.67</v>
      </c>
      <c r="T214" s="178">
        <f t="shared" si="51"/>
        <v>1.5699999999999998</v>
      </c>
    </row>
    <row r="215" spans="2:20" x14ac:dyDescent="0.3">
      <c r="B215" s="360" t="s">
        <v>226</v>
      </c>
      <c r="C215" s="360"/>
      <c r="D215" s="360"/>
      <c r="E215" s="360"/>
      <c r="F215" s="190">
        <f>F214/F217</f>
        <v>7.9870129870129869E-2</v>
      </c>
      <c r="G215" s="190">
        <f t="shared" ref="G215:T215" si="52">G214/G217</f>
        <v>7.7215189873417717E-2</v>
      </c>
      <c r="H215" s="190">
        <f t="shared" si="52"/>
        <v>0.15889552238805968</v>
      </c>
      <c r="I215" s="190">
        <f t="shared" si="52"/>
        <v>0.12430212765957448</v>
      </c>
      <c r="J215" s="190">
        <f t="shared" si="52"/>
        <v>0.05</v>
      </c>
      <c r="K215" s="190">
        <f t="shared" si="52"/>
        <v>4.9999999999999996E-2</v>
      </c>
      <c r="L215" s="190">
        <f t="shared" si="52"/>
        <v>0.15033333333333332</v>
      </c>
      <c r="M215" s="190">
        <f t="shared" si="52"/>
        <v>8.5857142857142868E-2</v>
      </c>
      <c r="N215" s="190">
        <f t="shared" si="52"/>
        <v>4.4999999999999997E-3</v>
      </c>
      <c r="O215" s="190">
        <f t="shared" si="52"/>
        <v>2.2490909090909089E-2</v>
      </c>
      <c r="P215" s="190">
        <f t="shared" si="52"/>
        <v>5.8299999999999998E-2</v>
      </c>
      <c r="Q215" s="190">
        <f t="shared" si="52"/>
        <v>8.0000000000000004E-4</v>
      </c>
      <c r="R215" s="190">
        <f t="shared" si="52"/>
        <v>0</v>
      </c>
      <c r="S215" s="190">
        <f t="shared" si="52"/>
        <v>5.0680000000000003E-2</v>
      </c>
      <c r="T215" s="190">
        <f t="shared" si="52"/>
        <v>0.13083333333333333</v>
      </c>
    </row>
    <row r="216" spans="2:20" x14ac:dyDescent="0.3">
      <c r="B216" s="360" t="s">
        <v>241</v>
      </c>
      <c r="C216" s="360"/>
      <c r="D216" s="360"/>
      <c r="E216" s="360"/>
      <c r="F216" s="189">
        <f>F214+F209+F198</f>
        <v>47.505000000000003</v>
      </c>
      <c r="G216" s="189">
        <f t="shared" ref="G216:T216" si="53">G214+G209+G198</f>
        <v>50.831000000000003</v>
      </c>
      <c r="H216" s="189">
        <f t="shared" si="53"/>
        <v>241.959</v>
      </c>
      <c r="I216" s="189">
        <f t="shared" si="53"/>
        <v>1590.69</v>
      </c>
      <c r="J216" s="189">
        <f t="shared" si="53"/>
        <v>0.7430000000000001</v>
      </c>
      <c r="K216" s="189">
        <f t="shared" si="53"/>
        <v>0.79200000000000004</v>
      </c>
      <c r="L216" s="189">
        <f t="shared" si="53"/>
        <v>110.363</v>
      </c>
      <c r="M216" s="189">
        <f t="shared" si="53"/>
        <v>2.2970999999999995</v>
      </c>
      <c r="N216" s="189">
        <f t="shared" si="53"/>
        <v>10.610000000000001</v>
      </c>
      <c r="O216" s="189">
        <f t="shared" si="53"/>
        <v>647.298</v>
      </c>
      <c r="P216" s="189">
        <f t="shared" si="53"/>
        <v>849.66100000000006</v>
      </c>
      <c r="Q216" s="189">
        <f t="shared" si="53"/>
        <v>4.9390000000000001</v>
      </c>
      <c r="R216" s="189">
        <f t="shared" si="53"/>
        <v>7.0000000000000007E-2</v>
      </c>
      <c r="S216" s="189">
        <f t="shared" si="53"/>
        <v>205.80700000000002</v>
      </c>
      <c r="T216" s="189">
        <f t="shared" si="53"/>
        <v>10.26</v>
      </c>
    </row>
    <row r="217" spans="2:20" x14ac:dyDescent="0.3">
      <c r="B217" s="360" t="s">
        <v>242</v>
      </c>
      <c r="C217" s="360"/>
      <c r="D217" s="360"/>
      <c r="E217" s="360"/>
      <c r="F217" s="173">
        <v>77</v>
      </c>
      <c r="G217" s="173">
        <v>79</v>
      </c>
      <c r="H217" s="173">
        <v>335</v>
      </c>
      <c r="I217" s="173">
        <v>2350</v>
      </c>
      <c r="J217" s="173">
        <v>1.2</v>
      </c>
      <c r="K217" s="173">
        <v>1.4</v>
      </c>
      <c r="L217" s="173">
        <v>60</v>
      </c>
      <c r="M217" s="173">
        <v>0.7</v>
      </c>
      <c r="N217" s="173">
        <v>10</v>
      </c>
      <c r="O217" s="173">
        <v>1100</v>
      </c>
      <c r="P217" s="173">
        <v>1100</v>
      </c>
      <c r="Q217" s="173">
        <v>10</v>
      </c>
      <c r="R217" s="173">
        <v>0.1</v>
      </c>
      <c r="S217" s="173">
        <v>250</v>
      </c>
      <c r="T217" s="173">
        <v>12</v>
      </c>
    </row>
    <row r="218" spans="2:20" x14ac:dyDescent="0.3">
      <c r="B218" s="360" t="s">
        <v>226</v>
      </c>
      <c r="C218" s="360"/>
      <c r="D218" s="360"/>
      <c r="E218" s="360"/>
      <c r="F218" s="190">
        <f>F216/F217</f>
        <v>0.61694805194805202</v>
      </c>
      <c r="G218" s="190">
        <f t="shared" ref="G218:T218" si="54">G216/G217</f>
        <v>0.64343037974683548</v>
      </c>
      <c r="H218" s="190">
        <f t="shared" si="54"/>
        <v>0.72226567164179101</v>
      </c>
      <c r="I218" s="190">
        <f t="shared" si="54"/>
        <v>0.67688936170212766</v>
      </c>
      <c r="J218" s="190">
        <f t="shared" si="54"/>
        <v>0.61916666666666675</v>
      </c>
      <c r="K218" s="190">
        <f t="shared" si="54"/>
        <v>0.56571428571428573</v>
      </c>
      <c r="L218" s="190">
        <f t="shared" si="54"/>
        <v>1.8393833333333334</v>
      </c>
      <c r="M218" s="190">
        <f t="shared" si="54"/>
        <v>3.2815714285714281</v>
      </c>
      <c r="N218" s="190">
        <f t="shared" si="54"/>
        <v>1.0610000000000002</v>
      </c>
      <c r="O218" s="190">
        <f t="shared" si="54"/>
        <v>0.58845272727272724</v>
      </c>
      <c r="P218" s="190">
        <f t="shared" si="54"/>
        <v>0.772419090909091</v>
      </c>
      <c r="Q218" s="190">
        <f t="shared" si="54"/>
        <v>0.49390000000000001</v>
      </c>
      <c r="R218" s="190">
        <f t="shared" si="54"/>
        <v>0.70000000000000007</v>
      </c>
      <c r="S218" s="190">
        <f t="shared" si="54"/>
        <v>0.82322800000000007</v>
      </c>
      <c r="T218" s="190">
        <f t="shared" si="54"/>
        <v>0.85499999999999998</v>
      </c>
    </row>
    <row r="219" spans="2:20" x14ac:dyDescent="0.3">
      <c r="B219" s="172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363" t="s">
        <v>187</v>
      </c>
      <c r="N219" s="363"/>
      <c r="O219" s="363"/>
      <c r="P219" s="363"/>
      <c r="Q219" s="363"/>
      <c r="R219" s="363"/>
      <c r="S219" s="363"/>
      <c r="T219" s="363"/>
    </row>
    <row r="220" spans="2:20" x14ac:dyDescent="0.3">
      <c r="B220" s="360" t="s">
        <v>305</v>
      </c>
      <c r="C220" s="360"/>
      <c r="D220" s="360"/>
      <c r="E220" s="360"/>
      <c r="F220" s="360"/>
      <c r="G220" s="360"/>
      <c r="H220" s="360"/>
      <c r="I220" s="360"/>
      <c r="J220" s="360"/>
      <c r="K220" s="360"/>
      <c r="L220" s="360"/>
      <c r="M220" s="360"/>
      <c r="N220" s="360"/>
      <c r="O220" s="360"/>
      <c r="P220" s="360"/>
      <c r="Q220" s="360"/>
      <c r="R220" s="360"/>
      <c r="S220" s="360"/>
      <c r="T220" s="360"/>
    </row>
    <row r="221" spans="2:20" x14ac:dyDescent="0.3">
      <c r="B221" s="360" t="s">
        <v>189</v>
      </c>
      <c r="C221" s="360"/>
      <c r="D221" s="173"/>
      <c r="E221" s="173"/>
      <c r="F221" s="173"/>
      <c r="G221" s="363" t="s">
        <v>244</v>
      </c>
      <c r="H221" s="363"/>
      <c r="I221" s="363"/>
      <c r="J221" s="173"/>
      <c r="K221" s="173"/>
      <c r="L221" s="360" t="s">
        <v>191</v>
      </c>
      <c r="M221" s="360"/>
      <c r="N221" s="363" t="s">
        <v>192</v>
      </c>
      <c r="O221" s="363"/>
      <c r="P221" s="363"/>
      <c r="Q221" s="363"/>
      <c r="R221" s="173"/>
      <c r="S221" s="173"/>
      <c r="T221" s="173"/>
    </row>
    <row r="222" spans="2:20" x14ac:dyDescent="0.3">
      <c r="B222" s="173"/>
      <c r="C222" s="173"/>
      <c r="D222" s="173"/>
      <c r="E222" s="360" t="s">
        <v>194</v>
      </c>
      <c r="F222" s="360"/>
      <c r="G222" s="173">
        <v>2</v>
      </c>
      <c r="H222" s="173"/>
      <c r="I222" s="173"/>
      <c r="J222" s="173"/>
      <c r="K222" s="173"/>
      <c r="L222" s="360" t="s">
        <v>195</v>
      </c>
      <c r="M222" s="360"/>
      <c r="N222" s="363" t="s">
        <v>196</v>
      </c>
      <c r="O222" s="363"/>
      <c r="P222" s="363"/>
      <c r="Q222" s="363"/>
      <c r="R222" s="363"/>
      <c r="S222" s="363"/>
      <c r="T222" s="363"/>
    </row>
    <row r="223" spans="2:20" x14ac:dyDescent="0.3">
      <c r="B223" s="174" t="s">
        <v>0</v>
      </c>
      <c r="C223" s="361" t="s">
        <v>198</v>
      </c>
      <c r="D223" s="361"/>
      <c r="E223" s="361" t="s">
        <v>199</v>
      </c>
      <c r="F223" s="361" t="s">
        <v>200</v>
      </c>
      <c r="G223" s="361"/>
      <c r="H223" s="361"/>
      <c r="I223" s="174" t="s">
        <v>201</v>
      </c>
      <c r="J223" s="361" t="s">
        <v>202</v>
      </c>
      <c r="K223" s="361"/>
      <c r="L223" s="361"/>
      <c r="M223" s="361"/>
      <c r="N223" s="361"/>
      <c r="O223" s="361" t="s">
        <v>203</v>
      </c>
      <c r="P223" s="361"/>
      <c r="Q223" s="361"/>
      <c r="R223" s="361"/>
      <c r="S223" s="361"/>
      <c r="T223" s="361"/>
    </row>
    <row r="224" spans="2:20" ht="52.8" x14ac:dyDescent="0.3">
      <c r="B224" s="174" t="s">
        <v>245</v>
      </c>
      <c r="C224" s="361"/>
      <c r="D224" s="361"/>
      <c r="E224" s="361"/>
      <c r="F224" s="174" t="s">
        <v>204</v>
      </c>
      <c r="G224" s="174" t="s">
        <v>205</v>
      </c>
      <c r="H224" s="174" t="s">
        <v>206</v>
      </c>
      <c r="I224" s="174" t="s">
        <v>207</v>
      </c>
      <c r="J224" s="174" t="s">
        <v>208</v>
      </c>
      <c r="K224" s="174" t="s">
        <v>209</v>
      </c>
      <c r="L224" s="174" t="s">
        <v>210</v>
      </c>
      <c r="M224" s="174" t="s">
        <v>211</v>
      </c>
      <c r="N224" s="174" t="s">
        <v>212</v>
      </c>
      <c r="O224" s="174" t="s">
        <v>213</v>
      </c>
      <c r="P224" s="174" t="s">
        <v>214</v>
      </c>
      <c r="Q224" s="174" t="s">
        <v>215</v>
      </c>
      <c r="R224" s="174" t="s">
        <v>216</v>
      </c>
      <c r="S224" s="174" t="s">
        <v>217</v>
      </c>
      <c r="T224" s="174" t="s">
        <v>218</v>
      </c>
    </row>
    <row r="225" spans="2:20" x14ac:dyDescent="0.3">
      <c r="B225" s="175">
        <v>1</v>
      </c>
      <c r="C225" s="362">
        <v>2</v>
      </c>
      <c r="D225" s="362"/>
      <c r="E225" s="175">
        <v>3</v>
      </c>
      <c r="F225" s="175">
        <v>4</v>
      </c>
      <c r="G225" s="175">
        <v>5</v>
      </c>
      <c r="H225" s="175">
        <v>6</v>
      </c>
      <c r="I225" s="175">
        <v>7</v>
      </c>
      <c r="J225" s="175">
        <v>8</v>
      </c>
      <c r="K225" s="175">
        <v>9</v>
      </c>
      <c r="L225" s="175">
        <v>10</v>
      </c>
      <c r="M225" s="175">
        <v>11</v>
      </c>
      <c r="N225" s="175">
        <v>12</v>
      </c>
      <c r="O225" s="175">
        <v>13</v>
      </c>
      <c r="P225" s="175">
        <v>14</v>
      </c>
      <c r="Q225" s="175">
        <v>15</v>
      </c>
      <c r="R225" s="175">
        <v>16</v>
      </c>
      <c r="S225" s="175">
        <v>17</v>
      </c>
      <c r="T225" s="175">
        <v>18</v>
      </c>
    </row>
    <row r="226" spans="2:20" x14ac:dyDescent="0.3">
      <c r="B226" s="360" t="s">
        <v>246</v>
      </c>
      <c r="C226" s="360"/>
      <c r="D226" s="360"/>
      <c r="E226" s="360"/>
      <c r="F226" s="360"/>
      <c r="G226" s="360"/>
      <c r="H226" s="360"/>
      <c r="I226" s="360"/>
      <c r="J226" s="360"/>
      <c r="K226" s="360"/>
      <c r="L226" s="360"/>
      <c r="M226" s="360"/>
      <c r="N226" s="360"/>
      <c r="O226" s="360"/>
      <c r="P226" s="360"/>
      <c r="Q226" s="360"/>
      <c r="R226" s="360"/>
      <c r="S226" s="360"/>
      <c r="T226" s="360"/>
    </row>
    <row r="227" spans="2:20" ht="18.75" customHeight="1" x14ac:dyDescent="0.3">
      <c r="B227" s="177" t="s">
        <v>344</v>
      </c>
      <c r="C227" s="397" t="s">
        <v>220</v>
      </c>
      <c r="D227" s="397"/>
      <c r="E227" s="177">
        <v>100</v>
      </c>
      <c r="F227" s="177">
        <v>0.4</v>
      </c>
      <c r="G227" s="177">
        <v>0.4</v>
      </c>
      <c r="H227" s="177">
        <v>9.8000000000000007</v>
      </c>
      <c r="I227" s="177">
        <v>42</v>
      </c>
      <c r="J227" s="177">
        <v>0.04</v>
      </c>
      <c r="K227" s="177">
        <v>0.02</v>
      </c>
      <c r="L227" s="177">
        <v>10</v>
      </c>
      <c r="M227" s="177">
        <v>0</v>
      </c>
      <c r="N227" s="177">
        <v>0.2</v>
      </c>
      <c r="O227" s="177">
        <v>16</v>
      </c>
      <c r="P227" s="177">
        <v>11</v>
      </c>
      <c r="Q227" s="177">
        <v>0</v>
      </c>
      <c r="R227" s="177">
        <v>0</v>
      </c>
      <c r="S227" s="177">
        <v>9</v>
      </c>
      <c r="T227" s="177">
        <v>2.2000000000000002</v>
      </c>
    </row>
    <row r="228" spans="2:20" s="199" customFormat="1" ht="27" customHeight="1" x14ac:dyDescent="0.3">
      <c r="B228" s="184">
        <v>71</v>
      </c>
      <c r="C228" s="352" t="s">
        <v>343</v>
      </c>
      <c r="D228" s="352"/>
      <c r="E228" s="184">
        <v>40</v>
      </c>
      <c r="F228" s="184">
        <v>0.33</v>
      </c>
      <c r="G228" s="184">
        <v>0.04</v>
      </c>
      <c r="H228" s="184">
        <v>1.1299999999999999</v>
      </c>
      <c r="I228" s="184">
        <v>6.23</v>
      </c>
      <c r="J228" s="184">
        <v>8.9999999999999993E-3</v>
      </c>
      <c r="K228" s="184">
        <v>0.01</v>
      </c>
      <c r="L228" s="184">
        <v>3</v>
      </c>
      <c r="M228" s="184">
        <v>3.0000000000000001E-3</v>
      </c>
      <c r="N228" s="184">
        <v>0.03</v>
      </c>
      <c r="O228" s="184">
        <v>6.9</v>
      </c>
      <c r="P228" s="184">
        <v>12.6</v>
      </c>
      <c r="Q228" s="184">
        <v>6.4000000000000001E-2</v>
      </c>
      <c r="R228" s="184">
        <v>1E-3</v>
      </c>
      <c r="S228" s="184">
        <v>4.2</v>
      </c>
      <c r="T228" s="184">
        <v>0.18</v>
      </c>
    </row>
    <row r="229" spans="2:20" s="199" customFormat="1" ht="30" customHeight="1" x14ac:dyDescent="0.3">
      <c r="B229" s="173">
        <v>392</v>
      </c>
      <c r="C229" s="368" t="s">
        <v>177</v>
      </c>
      <c r="D229" s="369"/>
      <c r="E229" s="173">
        <v>90</v>
      </c>
      <c r="F229" s="173">
        <v>9.9</v>
      </c>
      <c r="G229" s="173">
        <v>10.53</v>
      </c>
      <c r="H229" s="173">
        <v>7.02</v>
      </c>
      <c r="I229" s="173">
        <v>162</v>
      </c>
      <c r="J229" s="173">
        <v>0.05</v>
      </c>
      <c r="K229" s="173">
        <v>0</v>
      </c>
      <c r="L229" s="173">
        <v>0.09</v>
      </c>
      <c r="M229" s="173">
        <v>0.05</v>
      </c>
      <c r="N229" s="173"/>
      <c r="O229" s="173">
        <v>9</v>
      </c>
      <c r="P229" s="173">
        <v>90.9</v>
      </c>
      <c r="Q229" s="173">
        <v>0</v>
      </c>
      <c r="R229" s="173">
        <v>0</v>
      </c>
      <c r="S229" s="173">
        <v>11.7</v>
      </c>
      <c r="T229" s="173">
        <v>1.44</v>
      </c>
    </row>
    <row r="230" spans="2:20" s="199" customFormat="1" ht="25.5" customHeight="1" x14ac:dyDescent="0.3">
      <c r="B230" s="173">
        <v>175</v>
      </c>
      <c r="C230" s="359" t="s">
        <v>179</v>
      </c>
      <c r="D230" s="359"/>
      <c r="E230" s="173">
        <v>150</v>
      </c>
      <c r="F230" s="173">
        <v>3.5</v>
      </c>
      <c r="G230" s="173">
        <v>5</v>
      </c>
      <c r="H230" s="173">
        <v>25.2</v>
      </c>
      <c r="I230" s="173">
        <v>152.80000000000001</v>
      </c>
      <c r="J230" s="173">
        <v>0.1</v>
      </c>
      <c r="K230" s="173">
        <v>0.1</v>
      </c>
      <c r="L230" s="173">
        <v>3.4</v>
      </c>
      <c r="M230" s="173">
        <v>3.6999999999999998E-2</v>
      </c>
      <c r="N230" s="173">
        <v>0</v>
      </c>
      <c r="O230" s="173">
        <v>127.4</v>
      </c>
      <c r="P230" s="173">
        <v>183.5</v>
      </c>
      <c r="Q230" s="173">
        <v>0</v>
      </c>
      <c r="R230" s="173">
        <v>0</v>
      </c>
      <c r="S230" s="173">
        <v>55.1</v>
      </c>
      <c r="T230" s="173">
        <v>0.3</v>
      </c>
    </row>
    <row r="231" spans="2:20" s="199" customFormat="1" ht="16.5" customHeight="1" x14ac:dyDescent="0.3">
      <c r="B231" s="177">
        <v>376</v>
      </c>
      <c r="C231" s="352" t="s">
        <v>141</v>
      </c>
      <c r="D231" s="352"/>
      <c r="E231" s="177">
        <v>200</v>
      </c>
      <c r="F231" s="177">
        <v>0.2</v>
      </c>
      <c r="G231" s="177">
        <v>0.05</v>
      </c>
      <c r="H231" s="177">
        <v>15.01</v>
      </c>
      <c r="I231" s="177">
        <v>61</v>
      </c>
      <c r="J231" s="177">
        <v>0</v>
      </c>
      <c r="K231" s="177">
        <v>0.01</v>
      </c>
      <c r="L231" s="177">
        <v>9</v>
      </c>
      <c r="M231" s="177">
        <v>1E-4</v>
      </c>
      <c r="N231" s="177">
        <v>4.4999999999999998E-2</v>
      </c>
      <c r="O231" s="177">
        <v>5.25</v>
      </c>
      <c r="P231" s="177">
        <v>8.24</v>
      </c>
      <c r="Q231" s="177">
        <v>8.0000000000000002E-3</v>
      </c>
      <c r="R231" s="177">
        <v>0</v>
      </c>
      <c r="S231" s="177">
        <v>4.4000000000000004</v>
      </c>
      <c r="T231" s="177">
        <v>0.87</v>
      </c>
    </row>
    <row r="232" spans="2:20" x14ac:dyDescent="0.3">
      <c r="B232" s="173" t="s">
        <v>224</v>
      </c>
      <c r="C232" s="359" t="s">
        <v>161</v>
      </c>
      <c r="D232" s="359"/>
      <c r="E232" s="173">
        <v>40</v>
      </c>
      <c r="F232" s="173">
        <v>3.04</v>
      </c>
      <c r="G232" s="173">
        <v>0.32</v>
      </c>
      <c r="H232" s="173">
        <v>19.68</v>
      </c>
      <c r="I232" s="173">
        <v>88.8</v>
      </c>
      <c r="J232" s="173">
        <v>0.04</v>
      </c>
      <c r="K232" s="173">
        <v>0.01</v>
      </c>
      <c r="L232" s="173">
        <v>0.88</v>
      </c>
      <c r="M232" s="173">
        <v>0</v>
      </c>
      <c r="N232" s="173">
        <v>0.7</v>
      </c>
      <c r="O232" s="173">
        <v>8</v>
      </c>
      <c r="P232" s="173">
        <v>26</v>
      </c>
      <c r="Q232" s="173">
        <v>8.0000000000000002E-3</v>
      </c>
      <c r="R232" s="173">
        <v>3.0000000000000001E-3</v>
      </c>
      <c r="S232" s="173">
        <v>0</v>
      </c>
      <c r="T232" s="173">
        <v>0.44</v>
      </c>
    </row>
    <row r="233" spans="2:20" x14ac:dyDescent="0.3">
      <c r="B233" s="356" t="s">
        <v>251</v>
      </c>
      <c r="C233" s="357"/>
      <c r="D233" s="358"/>
      <c r="E233" s="189">
        <f>SUM(E228:E232)</f>
        <v>520</v>
      </c>
      <c r="F233" s="189">
        <f>SUM(F228:F232)</f>
        <v>16.97</v>
      </c>
      <c r="G233" s="189">
        <f t="shared" ref="G233:T233" si="55">SUM(G228:G232)</f>
        <v>15.94</v>
      </c>
      <c r="H233" s="189">
        <f t="shared" si="55"/>
        <v>68.039999999999992</v>
      </c>
      <c r="I233" s="189">
        <f t="shared" si="55"/>
        <v>470.83</v>
      </c>
      <c r="J233" s="189">
        <f t="shared" si="55"/>
        <v>0.19900000000000001</v>
      </c>
      <c r="K233" s="189">
        <f t="shared" si="55"/>
        <v>0.13</v>
      </c>
      <c r="L233" s="189">
        <f t="shared" si="55"/>
        <v>16.37</v>
      </c>
      <c r="M233" s="189">
        <f t="shared" si="55"/>
        <v>9.01E-2</v>
      </c>
      <c r="N233" s="189">
        <f t="shared" si="55"/>
        <v>0.77499999999999991</v>
      </c>
      <c r="O233" s="189">
        <f t="shared" si="55"/>
        <v>156.55000000000001</v>
      </c>
      <c r="P233" s="189">
        <f t="shared" si="55"/>
        <v>321.24</v>
      </c>
      <c r="Q233" s="189">
        <f t="shared" si="55"/>
        <v>8.0000000000000016E-2</v>
      </c>
      <c r="R233" s="189">
        <f t="shared" si="55"/>
        <v>4.0000000000000001E-3</v>
      </c>
      <c r="S233" s="189">
        <f t="shared" si="55"/>
        <v>75.400000000000006</v>
      </c>
      <c r="T233" s="189">
        <f t="shared" si="55"/>
        <v>3.23</v>
      </c>
    </row>
    <row r="234" spans="2:20" x14ac:dyDescent="0.3">
      <c r="B234" s="360" t="s">
        <v>226</v>
      </c>
      <c r="C234" s="360"/>
      <c r="D234" s="360"/>
      <c r="E234" s="360"/>
      <c r="F234" s="190">
        <f t="shared" ref="F234:T234" si="56">F233/F251</f>
        <v>0.22038961038961039</v>
      </c>
      <c r="G234" s="190">
        <f t="shared" si="56"/>
        <v>0.20177215189873418</v>
      </c>
      <c r="H234" s="190">
        <f t="shared" si="56"/>
        <v>0.20310447761194028</v>
      </c>
      <c r="I234" s="190">
        <f t="shared" si="56"/>
        <v>0.2003531914893617</v>
      </c>
      <c r="J234" s="190">
        <f t="shared" si="56"/>
        <v>0.16583333333333336</v>
      </c>
      <c r="K234" s="190">
        <f t="shared" si="56"/>
        <v>9.285714285714286E-2</v>
      </c>
      <c r="L234" s="190">
        <f t="shared" si="56"/>
        <v>0.27283333333333337</v>
      </c>
      <c r="M234" s="190">
        <f t="shared" si="56"/>
        <v>0.12871428571428573</v>
      </c>
      <c r="N234" s="190">
        <f t="shared" si="56"/>
        <v>7.7499999999999986E-2</v>
      </c>
      <c r="O234" s="190">
        <f t="shared" si="56"/>
        <v>0.14231818181818182</v>
      </c>
      <c r="P234" s="190">
        <f t="shared" si="56"/>
        <v>0.29203636363636365</v>
      </c>
      <c r="Q234" s="190">
        <f t="shared" si="56"/>
        <v>8.0000000000000019E-3</v>
      </c>
      <c r="R234" s="190">
        <f t="shared" si="56"/>
        <v>0.04</v>
      </c>
      <c r="S234" s="190">
        <f t="shared" si="56"/>
        <v>0.30160000000000003</v>
      </c>
      <c r="T234" s="190">
        <f t="shared" si="56"/>
        <v>0.26916666666666667</v>
      </c>
    </row>
    <row r="235" spans="2:20" x14ac:dyDescent="0.3">
      <c r="B235" s="360" t="s">
        <v>227</v>
      </c>
      <c r="C235" s="360"/>
      <c r="D235" s="360"/>
      <c r="E235" s="360"/>
      <c r="F235" s="360"/>
      <c r="G235" s="360"/>
      <c r="H235" s="360"/>
      <c r="I235" s="360"/>
      <c r="J235" s="360"/>
      <c r="K235" s="360"/>
      <c r="L235" s="360"/>
      <c r="M235" s="360"/>
      <c r="N235" s="360"/>
      <c r="O235" s="360"/>
      <c r="P235" s="360"/>
      <c r="Q235" s="360"/>
      <c r="R235" s="360"/>
      <c r="S235" s="360"/>
      <c r="T235" s="360"/>
    </row>
    <row r="236" spans="2:20" x14ac:dyDescent="0.3">
      <c r="B236" s="173">
        <v>45</v>
      </c>
      <c r="C236" s="359" t="s">
        <v>306</v>
      </c>
      <c r="D236" s="359"/>
      <c r="E236" s="173">
        <v>60</v>
      </c>
      <c r="F236" s="173">
        <v>0.81</v>
      </c>
      <c r="G236" s="173">
        <v>3.7</v>
      </c>
      <c r="H236" s="173">
        <v>4.6100000000000003</v>
      </c>
      <c r="I236" s="173">
        <v>54.96</v>
      </c>
      <c r="J236" s="173">
        <v>0.03</v>
      </c>
      <c r="K236" s="173">
        <v>0.04</v>
      </c>
      <c r="L236" s="173">
        <v>7.95</v>
      </c>
      <c r="M236" s="173">
        <v>0.03</v>
      </c>
      <c r="N236" s="173"/>
      <c r="O236" s="173">
        <v>20.13</v>
      </c>
      <c r="P236" s="173">
        <v>24.1</v>
      </c>
      <c r="Q236" s="173"/>
      <c r="R236" s="173">
        <v>0</v>
      </c>
      <c r="S236" s="173">
        <v>12.81</v>
      </c>
      <c r="T236" s="173">
        <v>0.53</v>
      </c>
    </row>
    <row r="237" spans="2:20" ht="28.5" customHeight="1" x14ac:dyDescent="0.3">
      <c r="B237" s="173">
        <v>113</v>
      </c>
      <c r="C237" s="359" t="s">
        <v>307</v>
      </c>
      <c r="D237" s="359"/>
      <c r="E237" s="173" t="s">
        <v>308</v>
      </c>
      <c r="F237" s="173">
        <v>6.9</v>
      </c>
      <c r="G237" s="173">
        <v>6.95</v>
      </c>
      <c r="H237" s="173">
        <v>18.760000000000002</v>
      </c>
      <c r="I237" s="173">
        <v>165.2</v>
      </c>
      <c r="J237" s="173">
        <v>0.18</v>
      </c>
      <c r="K237" s="173">
        <v>0.17</v>
      </c>
      <c r="L237" s="173">
        <v>4.2</v>
      </c>
      <c r="M237" s="173">
        <v>0.82</v>
      </c>
      <c r="N237" s="173">
        <v>0.3</v>
      </c>
      <c r="O237" s="173">
        <v>34.700000000000003</v>
      </c>
      <c r="P237" s="173">
        <v>75.88</v>
      </c>
      <c r="Q237" s="173">
        <v>0.1</v>
      </c>
      <c r="R237" s="173">
        <v>0</v>
      </c>
      <c r="S237" s="173">
        <v>14.5</v>
      </c>
      <c r="T237" s="173">
        <v>0.99</v>
      </c>
    </row>
    <row r="238" spans="2:20" ht="18.75" customHeight="1" x14ac:dyDescent="0.3">
      <c r="B238" s="173">
        <v>293</v>
      </c>
      <c r="C238" s="359" t="s">
        <v>309</v>
      </c>
      <c r="D238" s="359"/>
      <c r="E238" s="173">
        <v>90</v>
      </c>
      <c r="F238" s="173">
        <v>19</v>
      </c>
      <c r="G238" s="173">
        <v>10.87</v>
      </c>
      <c r="H238" s="173">
        <v>0.17</v>
      </c>
      <c r="I238" s="173">
        <v>174.53</v>
      </c>
      <c r="J238" s="173">
        <v>0.09</v>
      </c>
      <c r="K238" s="173">
        <v>0.17</v>
      </c>
      <c r="L238" s="173">
        <v>0.02</v>
      </c>
      <c r="M238" s="173">
        <v>0</v>
      </c>
      <c r="N238" s="173">
        <v>0</v>
      </c>
      <c r="O238" s="173">
        <v>19.5</v>
      </c>
      <c r="P238" s="173">
        <v>1.6</v>
      </c>
      <c r="Q238" s="173">
        <v>0</v>
      </c>
      <c r="R238" s="173">
        <v>0</v>
      </c>
      <c r="S238" s="173">
        <v>17.079999999999998</v>
      </c>
      <c r="T238" s="173">
        <v>1.86</v>
      </c>
    </row>
    <row r="239" spans="2:20" x14ac:dyDescent="0.3">
      <c r="B239" s="173">
        <v>139</v>
      </c>
      <c r="C239" s="359" t="s">
        <v>310</v>
      </c>
      <c r="D239" s="359"/>
      <c r="E239" s="173">
        <v>150</v>
      </c>
      <c r="F239" s="173">
        <v>2.77</v>
      </c>
      <c r="G239" s="173">
        <v>4.84</v>
      </c>
      <c r="H239" s="173">
        <v>10.78</v>
      </c>
      <c r="I239" s="173">
        <v>97.76</v>
      </c>
      <c r="J239" s="173">
        <v>0.64</v>
      </c>
      <c r="K239" s="173">
        <v>0.13</v>
      </c>
      <c r="L239" s="173">
        <v>0.16</v>
      </c>
      <c r="M239" s="173">
        <v>2.5000000000000001E-2</v>
      </c>
      <c r="N239" s="173">
        <v>0.01</v>
      </c>
      <c r="O239" s="173">
        <v>73.05</v>
      </c>
      <c r="P239" s="173">
        <v>54</v>
      </c>
      <c r="Q239" s="173">
        <v>3.5</v>
      </c>
      <c r="R239" s="173">
        <v>1.7000000000000001E-2</v>
      </c>
      <c r="S239" s="173">
        <v>27.75</v>
      </c>
      <c r="T239" s="173">
        <v>1.0900000000000001</v>
      </c>
    </row>
    <row r="240" spans="2:20" ht="30" customHeight="1" x14ac:dyDescent="0.3">
      <c r="B240" s="173">
        <v>349</v>
      </c>
      <c r="C240" s="359" t="s">
        <v>311</v>
      </c>
      <c r="D240" s="359"/>
      <c r="E240" s="173">
        <v>200</v>
      </c>
      <c r="F240" s="173">
        <v>0.22</v>
      </c>
      <c r="G240" s="173"/>
      <c r="H240" s="173">
        <v>24.42</v>
      </c>
      <c r="I240" s="173">
        <v>98.56</v>
      </c>
      <c r="J240" s="173"/>
      <c r="K240" s="173"/>
      <c r="L240" s="173">
        <v>0.2</v>
      </c>
      <c r="M240" s="173"/>
      <c r="N240" s="173"/>
      <c r="O240" s="173">
        <v>22.6</v>
      </c>
      <c r="P240" s="173">
        <v>7.7</v>
      </c>
      <c r="Q240" s="173">
        <v>0</v>
      </c>
      <c r="R240" s="173">
        <v>0</v>
      </c>
      <c r="S240" s="173">
        <v>3</v>
      </c>
      <c r="T240" s="173">
        <v>0.66</v>
      </c>
    </row>
    <row r="241" spans="2:20" ht="19.5" customHeight="1" x14ac:dyDescent="0.3">
      <c r="B241" s="173" t="s">
        <v>224</v>
      </c>
      <c r="C241" s="359" t="s">
        <v>235</v>
      </c>
      <c r="D241" s="359"/>
      <c r="E241" s="173">
        <v>40</v>
      </c>
      <c r="F241" s="173">
        <v>2.64</v>
      </c>
      <c r="G241" s="173">
        <v>0.48</v>
      </c>
      <c r="H241" s="173">
        <v>13.68</v>
      </c>
      <c r="I241" s="173">
        <v>69.599999999999994</v>
      </c>
      <c r="J241" s="173">
        <v>0.08</v>
      </c>
      <c r="K241" s="173">
        <v>0.04</v>
      </c>
      <c r="L241" s="173">
        <v>0</v>
      </c>
      <c r="M241" s="173">
        <v>0</v>
      </c>
      <c r="N241" s="173">
        <v>2.4</v>
      </c>
      <c r="O241" s="173">
        <v>14</v>
      </c>
      <c r="P241" s="173">
        <v>63.2</v>
      </c>
      <c r="Q241" s="173">
        <v>1.2</v>
      </c>
      <c r="R241" s="173">
        <v>1E-3</v>
      </c>
      <c r="S241" s="173">
        <v>9.4</v>
      </c>
      <c r="T241" s="173">
        <v>0.78</v>
      </c>
    </row>
    <row r="242" spans="2:20" x14ac:dyDescent="0.3">
      <c r="B242" s="173" t="s">
        <v>224</v>
      </c>
      <c r="C242" s="359" t="s">
        <v>117</v>
      </c>
      <c r="D242" s="359"/>
      <c r="E242" s="173">
        <v>30</v>
      </c>
      <c r="F242" s="173">
        <v>1.52</v>
      </c>
      <c r="G242" s="173">
        <v>0.16</v>
      </c>
      <c r="H242" s="173">
        <v>9.84</v>
      </c>
      <c r="I242" s="173">
        <v>46.9</v>
      </c>
      <c r="J242" s="173">
        <v>0.02</v>
      </c>
      <c r="K242" s="173">
        <v>0.01</v>
      </c>
      <c r="L242" s="173">
        <v>0.44</v>
      </c>
      <c r="M242" s="173">
        <v>0</v>
      </c>
      <c r="N242" s="173">
        <v>0.7</v>
      </c>
      <c r="O242" s="173">
        <v>4</v>
      </c>
      <c r="P242" s="173">
        <v>13</v>
      </c>
      <c r="Q242" s="173">
        <v>8.0000000000000002E-3</v>
      </c>
      <c r="R242" s="173">
        <v>1E-3</v>
      </c>
      <c r="S242" s="173">
        <v>0</v>
      </c>
      <c r="T242" s="173">
        <v>0.22</v>
      </c>
    </row>
    <row r="243" spans="2:20" ht="27" customHeight="1" x14ac:dyDescent="0.3">
      <c r="B243" s="360" t="s">
        <v>236</v>
      </c>
      <c r="C243" s="360"/>
      <c r="D243" s="360"/>
      <c r="E243" s="189">
        <f>E236+E238+E239+E240+E241+E242+210</f>
        <v>780</v>
      </c>
      <c r="F243" s="189">
        <f>SUM(F236:F242)</f>
        <v>33.86</v>
      </c>
      <c r="G243" s="189">
        <f t="shared" ref="G243:T243" si="57">SUM(G236:G242)</f>
        <v>27</v>
      </c>
      <c r="H243" s="189">
        <f t="shared" si="57"/>
        <v>82.26</v>
      </c>
      <c r="I243" s="189">
        <f t="shared" si="57"/>
        <v>707.51</v>
      </c>
      <c r="J243" s="189">
        <f t="shared" si="57"/>
        <v>1.04</v>
      </c>
      <c r="K243" s="189">
        <f t="shared" si="57"/>
        <v>0.56000000000000005</v>
      </c>
      <c r="L243" s="189">
        <f t="shared" si="57"/>
        <v>12.969999999999999</v>
      </c>
      <c r="M243" s="189">
        <f t="shared" si="57"/>
        <v>0.875</v>
      </c>
      <c r="N243" s="189">
        <f t="shared" si="57"/>
        <v>3.41</v>
      </c>
      <c r="O243" s="189">
        <f t="shared" si="57"/>
        <v>187.98</v>
      </c>
      <c r="P243" s="189">
        <f t="shared" si="57"/>
        <v>239.47999999999996</v>
      </c>
      <c r="Q243" s="189">
        <f t="shared" si="57"/>
        <v>4.8079999999999998</v>
      </c>
      <c r="R243" s="189">
        <f t="shared" si="57"/>
        <v>1.9000000000000003E-2</v>
      </c>
      <c r="S243" s="189">
        <f t="shared" si="57"/>
        <v>84.54</v>
      </c>
      <c r="T243" s="189">
        <f t="shared" si="57"/>
        <v>6.13</v>
      </c>
    </row>
    <row r="244" spans="2:20" ht="18" customHeight="1" x14ac:dyDescent="0.3">
      <c r="B244" s="360" t="s">
        <v>226</v>
      </c>
      <c r="C244" s="360"/>
      <c r="D244" s="360"/>
      <c r="E244" s="360"/>
      <c r="F244" s="190">
        <f>F243/F251</f>
        <v>0.43974025974025971</v>
      </c>
      <c r="G244" s="190">
        <v>0.33900000000000002</v>
      </c>
      <c r="H244" s="190">
        <v>0.252</v>
      </c>
      <c r="I244" s="190">
        <v>0.30499999999999999</v>
      </c>
      <c r="J244" s="190">
        <v>0.876</v>
      </c>
      <c r="K244" s="190">
        <v>0.39500000000000002</v>
      </c>
      <c r="L244" s="190">
        <v>0.22700000000000001</v>
      </c>
      <c r="M244" s="191">
        <v>2.2639999999999998</v>
      </c>
      <c r="N244" s="190">
        <v>0.36099999999999999</v>
      </c>
      <c r="O244" s="190">
        <v>0.17399999999999999</v>
      </c>
      <c r="P244" s="190">
        <v>0.22700000000000001</v>
      </c>
      <c r="Q244" s="190">
        <v>0.48199999999999998</v>
      </c>
      <c r="R244" s="190">
        <v>0.6</v>
      </c>
      <c r="S244" s="190">
        <v>0.34899999999999998</v>
      </c>
      <c r="T244" s="190">
        <v>0.52500000000000002</v>
      </c>
    </row>
    <row r="245" spans="2:20" x14ac:dyDescent="0.3">
      <c r="B245" s="360" t="s">
        <v>237</v>
      </c>
      <c r="C245" s="360"/>
      <c r="D245" s="360"/>
      <c r="E245" s="360"/>
      <c r="F245" s="360"/>
      <c r="G245" s="360"/>
      <c r="H245" s="360"/>
      <c r="I245" s="360"/>
      <c r="J245" s="360"/>
      <c r="K245" s="360"/>
      <c r="L245" s="360"/>
      <c r="M245" s="360"/>
      <c r="N245" s="360"/>
      <c r="O245" s="360"/>
      <c r="P245" s="360"/>
      <c r="Q245" s="360"/>
      <c r="R245" s="360"/>
      <c r="S245" s="360"/>
      <c r="T245" s="360"/>
    </row>
    <row r="246" spans="2:20" ht="19.5" customHeight="1" x14ac:dyDescent="0.3">
      <c r="B246" s="177" t="s">
        <v>224</v>
      </c>
      <c r="C246" s="352" t="s">
        <v>238</v>
      </c>
      <c r="D246" s="352"/>
      <c r="E246" s="177">
        <v>100</v>
      </c>
      <c r="F246" s="177">
        <v>7.86</v>
      </c>
      <c r="G246" s="177">
        <v>5.57</v>
      </c>
      <c r="H246" s="177">
        <v>53.71</v>
      </c>
      <c r="I246" s="177">
        <v>297.14</v>
      </c>
      <c r="J246" s="177">
        <v>0.1</v>
      </c>
      <c r="K246" s="177">
        <v>0.04</v>
      </c>
      <c r="L246" s="177">
        <v>0</v>
      </c>
      <c r="M246" s="177">
        <v>0.1</v>
      </c>
      <c r="N246" s="177"/>
      <c r="O246" s="177">
        <v>16.170000000000002</v>
      </c>
      <c r="P246" s="177">
        <v>0</v>
      </c>
      <c r="Q246" s="177">
        <v>0</v>
      </c>
      <c r="R246" s="177">
        <v>0</v>
      </c>
      <c r="S246" s="177">
        <v>11.19</v>
      </c>
      <c r="T246" s="177">
        <v>0.9</v>
      </c>
    </row>
    <row r="247" spans="2:20" ht="25.5" customHeight="1" x14ac:dyDescent="0.3">
      <c r="B247" s="177">
        <v>349</v>
      </c>
      <c r="C247" s="352" t="s">
        <v>239</v>
      </c>
      <c r="D247" s="352"/>
      <c r="E247" s="177">
        <v>200</v>
      </c>
      <c r="F247" s="177">
        <v>0.22</v>
      </c>
      <c r="G247" s="177">
        <v>0</v>
      </c>
      <c r="H247" s="177">
        <v>24.42</v>
      </c>
      <c r="I247" s="177">
        <v>98.56</v>
      </c>
      <c r="J247" s="177"/>
      <c r="K247" s="177"/>
      <c r="L247" s="177">
        <v>0.2</v>
      </c>
      <c r="M247" s="177"/>
      <c r="N247" s="177"/>
      <c r="O247" s="177">
        <v>22.6</v>
      </c>
      <c r="P247" s="177">
        <v>7.7</v>
      </c>
      <c r="Q247" s="177">
        <v>0</v>
      </c>
      <c r="R247" s="177">
        <v>0</v>
      </c>
      <c r="S247" s="177">
        <v>3</v>
      </c>
      <c r="T247" s="177">
        <v>0.66</v>
      </c>
    </row>
    <row r="248" spans="2:20" ht="18" customHeight="1" x14ac:dyDescent="0.3">
      <c r="B248" s="356" t="s">
        <v>240</v>
      </c>
      <c r="C248" s="357"/>
      <c r="D248" s="358"/>
      <c r="E248" s="178">
        <f>E246+E247</f>
        <v>300</v>
      </c>
      <c r="F248" s="178">
        <f t="shared" ref="F248:T248" si="58">F246+F247</f>
        <v>8.08</v>
      </c>
      <c r="G248" s="178">
        <f t="shared" si="58"/>
        <v>5.57</v>
      </c>
      <c r="H248" s="178">
        <f t="shared" si="58"/>
        <v>78.13</v>
      </c>
      <c r="I248" s="178">
        <f t="shared" si="58"/>
        <v>395.7</v>
      </c>
      <c r="J248" s="178">
        <f t="shared" si="58"/>
        <v>0.1</v>
      </c>
      <c r="K248" s="178">
        <f t="shared" si="58"/>
        <v>0.04</v>
      </c>
      <c r="L248" s="178">
        <f t="shared" si="58"/>
        <v>0.2</v>
      </c>
      <c r="M248" s="178">
        <f t="shared" si="58"/>
        <v>0.1</v>
      </c>
      <c r="N248" s="178">
        <f t="shared" si="58"/>
        <v>0</v>
      </c>
      <c r="O248" s="178">
        <f t="shared" si="58"/>
        <v>38.770000000000003</v>
      </c>
      <c r="P248" s="178">
        <f t="shared" si="58"/>
        <v>7.7</v>
      </c>
      <c r="Q248" s="178">
        <f t="shared" si="58"/>
        <v>0</v>
      </c>
      <c r="R248" s="178">
        <f t="shared" si="58"/>
        <v>0</v>
      </c>
      <c r="S248" s="178">
        <f t="shared" si="58"/>
        <v>14.19</v>
      </c>
      <c r="T248" s="178">
        <f t="shared" si="58"/>
        <v>1.56</v>
      </c>
    </row>
    <row r="249" spans="2:20" x14ac:dyDescent="0.3">
      <c r="B249" s="360" t="s">
        <v>226</v>
      </c>
      <c r="C249" s="360"/>
      <c r="D249" s="360"/>
      <c r="E249" s="360"/>
      <c r="F249" s="190">
        <f>F248/F251</f>
        <v>0.10493506493506494</v>
      </c>
      <c r="G249" s="190">
        <f t="shared" ref="G249:T249" si="59">G248/G251</f>
        <v>7.0506329113924057E-2</v>
      </c>
      <c r="H249" s="190">
        <f t="shared" si="59"/>
        <v>0.2332238805970149</v>
      </c>
      <c r="I249" s="190">
        <f t="shared" si="59"/>
        <v>0.16838297872340424</v>
      </c>
      <c r="J249" s="190">
        <f t="shared" si="59"/>
        <v>8.3333333333333343E-2</v>
      </c>
      <c r="K249" s="190">
        <f t="shared" si="59"/>
        <v>2.8571428571428574E-2</v>
      </c>
      <c r="L249" s="190">
        <f t="shared" si="59"/>
        <v>3.3333333333333335E-3</v>
      </c>
      <c r="M249" s="190">
        <f t="shared" si="59"/>
        <v>0.14285714285714288</v>
      </c>
      <c r="N249" s="190">
        <f t="shared" si="59"/>
        <v>0</v>
      </c>
      <c r="O249" s="190">
        <f t="shared" si="59"/>
        <v>3.5245454545454545E-2</v>
      </c>
      <c r="P249" s="190">
        <f t="shared" si="59"/>
        <v>7.0000000000000001E-3</v>
      </c>
      <c r="Q249" s="190">
        <f t="shared" si="59"/>
        <v>0</v>
      </c>
      <c r="R249" s="190">
        <f t="shared" si="59"/>
        <v>0</v>
      </c>
      <c r="S249" s="190">
        <f t="shared" si="59"/>
        <v>5.6759999999999998E-2</v>
      </c>
      <c r="T249" s="190">
        <f t="shared" si="59"/>
        <v>0.13</v>
      </c>
    </row>
    <row r="250" spans="2:20" x14ac:dyDescent="0.3">
      <c r="B250" s="360" t="s">
        <v>241</v>
      </c>
      <c r="C250" s="360"/>
      <c r="D250" s="360"/>
      <c r="E250" s="360"/>
      <c r="F250" s="189">
        <f>F248+F243+F233</f>
        <v>58.91</v>
      </c>
      <c r="G250" s="189">
        <f t="shared" ref="G250:T250" si="60">G248+G243+G233</f>
        <v>48.51</v>
      </c>
      <c r="H250" s="189">
        <f t="shared" si="60"/>
        <v>228.42999999999998</v>
      </c>
      <c r="I250" s="189">
        <f t="shared" si="60"/>
        <v>1574.04</v>
      </c>
      <c r="J250" s="189">
        <f t="shared" si="60"/>
        <v>1.3390000000000002</v>
      </c>
      <c r="K250" s="189">
        <f t="shared" si="60"/>
        <v>0.73000000000000009</v>
      </c>
      <c r="L250" s="189">
        <f t="shared" si="60"/>
        <v>29.54</v>
      </c>
      <c r="M250" s="189">
        <f t="shared" si="60"/>
        <v>1.0650999999999999</v>
      </c>
      <c r="N250" s="189">
        <f t="shared" si="60"/>
        <v>4.1850000000000005</v>
      </c>
      <c r="O250" s="189">
        <f t="shared" si="60"/>
        <v>383.3</v>
      </c>
      <c r="P250" s="189">
        <f t="shared" si="60"/>
        <v>568.41999999999996</v>
      </c>
      <c r="Q250" s="189">
        <f t="shared" si="60"/>
        <v>4.8879999999999999</v>
      </c>
      <c r="R250" s="189">
        <f t="shared" si="60"/>
        <v>2.3000000000000003E-2</v>
      </c>
      <c r="S250" s="189">
        <f t="shared" si="60"/>
        <v>174.13</v>
      </c>
      <c r="T250" s="189">
        <f t="shared" si="60"/>
        <v>10.92</v>
      </c>
    </row>
    <row r="251" spans="2:20" x14ac:dyDescent="0.3">
      <c r="B251" s="360" t="s">
        <v>242</v>
      </c>
      <c r="C251" s="360"/>
      <c r="D251" s="360"/>
      <c r="E251" s="360"/>
      <c r="F251" s="173">
        <v>77</v>
      </c>
      <c r="G251" s="173">
        <v>79</v>
      </c>
      <c r="H251" s="173">
        <v>335</v>
      </c>
      <c r="I251" s="173">
        <v>2350</v>
      </c>
      <c r="J251" s="173">
        <v>1.2</v>
      </c>
      <c r="K251" s="173">
        <v>1.4</v>
      </c>
      <c r="L251" s="173">
        <v>60</v>
      </c>
      <c r="M251" s="173">
        <v>0.7</v>
      </c>
      <c r="N251" s="173">
        <v>10</v>
      </c>
      <c r="O251" s="173">
        <v>1100</v>
      </c>
      <c r="P251" s="173">
        <v>1100</v>
      </c>
      <c r="Q251" s="173">
        <v>10</v>
      </c>
      <c r="R251" s="173">
        <v>0.1</v>
      </c>
      <c r="S251" s="173">
        <v>250</v>
      </c>
      <c r="T251" s="173">
        <v>12</v>
      </c>
    </row>
    <row r="252" spans="2:20" x14ac:dyDescent="0.3">
      <c r="B252" s="360" t="s">
        <v>226</v>
      </c>
      <c r="C252" s="360"/>
      <c r="D252" s="360"/>
      <c r="E252" s="360"/>
      <c r="F252" s="190">
        <f>F250/F251</f>
        <v>0.765064935064935</v>
      </c>
      <c r="G252" s="190">
        <f t="shared" ref="G252:T252" si="61">G250/G251</f>
        <v>0.61405063291139239</v>
      </c>
      <c r="H252" s="190">
        <f t="shared" si="61"/>
        <v>0.68188059701492532</v>
      </c>
      <c r="I252" s="190">
        <f t="shared" si="61"/>
        <v>0.66980425531914889</v>
      </c>
      <c r="J252" s="190">
        <f t="shared" si="61"/>
        <v>1.1158333333333335</v>
      </c>
      <c r="K252" s="190">
        <f t="shared" si="61"/>
        <v>0.52142857142857157</v>
      </c>
      <c r="L252" s="190">
        <f t="shared" si="61"/>
        <v>0.49233333333333335</v>
      </c>
      <c r="M252" s="190">
        <f t="shared" si="61"/>
        <v>1.5215714285714286</v>
      </c>
      <c r="N252" s="190">
        <f t="shared" si="61"/>
        <v>0.41850000000000004</v>
      </c>
      <c r="O252" s="190">
        <f t="shared" si="61"/>
        <v>0.34845454545454546</v>
      </c>
      <c r="P252" s="190">
        <f t="shared" si="61"/>
        <v>0.51674545454545451</v>
      </c>
      <c r="Q252" s="190">
        <f t="shared" si="61"/>
        <v>0.48880000000000001</v>
      </c>
      <c r="R252" s="190">
        <f t="shared" si="61"/>
        <v>0.23</v>
      </c>
      <c r="S252" s="190">
        <f t="shared" si="61"/>
        <v>0.69652000000000003</v>
      </c>
      <c r="T252" s="190">
        <f t="shared" si="61"/>
        <v>0.91</v>
      </c>
    </row>
    <row r="253" spans="2:20" x14ac:dyDescent="0.3">
      <c r="B253" s="363"/>
      <c r="C253" s="363"/>
      <c r="D253" s="363"/>
      <c r="E253" s="363"/>
      <c r="F253" s="363"/>
      <c r="G253" s="363"/>
      <c r="H253" s="363"/>
      <c r="I253" s="363"/>
      <c r="J253" s="173"/>
      <c r="K253" s="173"/>
      <c r="L253" s="173"/>
      <c r="M253" s="363" t="s">
        <v>187</v>
      </c>
      <c r="N253" s="363"/>
      <c r="O253" s="363"/>
      <c r="P253" s="363"/>
      <c r="Q253" s="363"/>
      <c r="R253" s="363"/>
      <c r="S253" s="363"/>
      <c r="T253" s="363"/>
    </row>
    <row r="254" spans="2:20" x14ac:dyDescent="0.3">
      <c r="B254" s="173"/>
      <c r="C254" s="173"/>
      <c r="D254" s="189"/>
      <c r="E254" s="189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</row>
    <row r="255" spans="2:20" x14ac:dyDescent="0.3">
      <c r="B255" s="360" t="s">
        <v>312</v>
      </c>
      <c r="C255" s="360"/>
      <c r="D255" s="360"/>
      <c r="E255" s="360"/>
      <c r="F255" s="360"/>
      <c r="G255" s="360"/>
      <c r="H255" s="360"/>
      <c r="I255" s="360"/>
      <c r="J255" s="360"/>
      <c r="K255" s="360"/>
      <c r="L255" s="360"/>
      <c r="M255" s="360"/>
      <c r="N255" s="360"/>
      <c r="O255" s="360"/>
      <c r="P255" s="360"/>
      <c r="Q255" s="360"/>
      <c r="R255" s="360"/>
      <c r="S255" s="360"/>
      <c r="T255" s="360"/>
    </row>
    <row r="256" spans="2:20" x14ac:dyDescent="0.3">
      <c r="B256" s="360" t="s">
        <v>261</v>
      </c>
      <c r="C256" s="360"/>
      <c r="D256" s="173"/>
      <c r="E256" s="173"/>
      <c r="F256" s="173"/>
      <c r="G256" s="363" t="s">
        <v>262</v>
      </c>
      <c r="H256" s="363"/>
      <c r="I256" s="363"/>
      <c r="J256" s="173"/>
      <c r="K256" s="173"/>
      <c r="L256" s="360" t="s">
        <v>191</v>
      </c>
      <c r="M256" s="360"/>
      <c r="N256" s="363" t="s">
        <v>192</v>
      </c>
      <c r="O256" s="363"/>
      <c r="P256" s="363"/>
      <c r="Q256" s="363"/>
      <c r="R256" s="173"/>
      <c r="S256" s="173"/>
      <c r="T256" s="173"/>
    </row>
    <row r="257" spans="2:20" x14ac:dyDescent="0.3">
      <c r="B257" s="173"/>
      <c r="C257" s="173"/>
      <c r="D257" s="173"/>
      <c r="E257" s="360" t="s">
        <v>194</v>
      </c>
      <c r="F257" s="360"/>
      <c r="G257" s="173">
        <v>2</v>
      </c>
      <c r="H257" s="173"/>
      <c r="I257" s="173"/>
      <c r="J257" s="173"/>
      <c r="K257" s="173"/>
      <c r="L257" s="360" t="s">
        <v>195</v>
      </c>
      <c r="M257" s="360"/>
      <c r="N257" s="363" t="s">
        <v>196</v>
      </c>
      <c r="O257" s="363"/>
      <c r="P257" s="363"/>
      <c r="Q257" s="363"/>
      <c r="R257" s="363"/>
      <c r="S257" s="363"/>
      <c r="T257" s="363"/>
    </row>
    <row r="258" spans="2:20" x14ac:dyDescent="0.3">
      <c r="B258" s="174" t="s">
        <v>0</v>
      </c>
      <c r="C258" s="361" t="s">
        <v>198</v>
      </c>
      <c r="D258" s="361"/>
      <c r="E258" s="361" t="s">
        <v>199</v>
      </c>
      <c r="F258" s="361" t="s">
        <v>200</v>
      </c>
      <c r="G258" s="361"/>
      <c r="H258" s="361"/>
      <c r="I258" s="174" t="s">
        <v>201</v>
      </c>
      <c r="J258" s="361" t="s">
        <v>202</v>
      </c>
      <c r="K258" s="361"/>
      <c r="L258" s="361"/>
      <c r="M258" s="361"/>
      <c r="N258" s="361"/>
      <c r="O258" s="361" t="s">
        <v>203</v>
      </c>
      <c r="P258" s="361"/>
      <c r="Q258" s="361"/>
      <c r="R258" s="361"/>
      <c r="S258" s="361"/>
      <c r="T258" s="361"/>
    </row>
    <row r="259" spans="2:20" ht="52.8" x14ac:dyDescent="0.3">
      <c r="B259" s="174" t="s">
        <v>245</v>
      </c>
      <c r="C259" s="361"/>
      <c r="D259" s="361"/>
      <c r="E259" s="361"/>
      <c r="F259" s="174" t="s">
        <v>204</v>
      </c>
      <c r="G259" s="174" t="s">
        <v>205</v>
      </c>
      <c r="H259" s="174" t="s">
        <v>206</v>
      </c>
      <c r="I259" s="174" t="s">
        <v>207</v>
      </c>
      <c r="J259" s="174" t="s">
        <v>208</v>
      </c>
      <c r="K259" s="174" t="s">
        <v>209</v>
      </c>
      <c r="L259" s="174" t="s">
        <v>210</v>
      </c>
      <c r="M259" s="174" t="s">
        <v>211</v>
      </c>
      <c r="N259" s="174" t="s">
        <v>212</v>
      </c>
      <c r="O259" s="174" t="s">
        <v>213</v>
      </c>
      <c r="P259" s="174" t="s">
        <v>214</v>
      </c>
      <c r="Q259" s="174" t="s">
        <v>215</v>
      </c>
      <c r="R259" s="174" t="s">
        <v>216</v>
      </c>
      <c r="S259" s="174" t="s">
        <v>217</v>
      </c>
      <c r="T259" s="174" t="s">
        <v>218</v>
      </c>
    </row>
    <row r="260" spans="2:20" x14ac:dyDescent="0.3">
      <c r="B260" s="175">
        <v>1</v>
      </c>
      <c r="C260" s="362">
        <v>2</v>
      </c>
      <c r="D260" s="362"/>
      <c r="E260" s="175">
        <v>3</v>
      </c>
      <c r="F260" s="175">
        <v>4</v>
      </c>
      <c r="G260" s="175">
        <v>5</v>
      </c>
      <c r="H260" s="175">
        <v>6</v>
      </c>
      <c r="I260" s="175">
        <v>7</v>
      </c>
      <c r="J260" s="175">
        <v>8</v>
      </c>
      <c r="K260" s="175">
        <v>9</v>
      </c>
      <c r="L260" s="175">
        <v>10</v>
      </c>
      <c r="M260" s="175">
        <v>11</v>
      </c>
      <c r="N260" s="175">
        <v>12</v>
      </c>
      <c r="O260" s="175">
        <v>13</v>
      </c>
      <c r="P260" s="175">
        <v>14</v>
      </c>
      <c r="Q260" s="175">
        <v>15</v>
      </c>
      <c r="R260" s="175">
        <v>16</v>
      </c>
      <c r="S260" s="175">
        <v>17</v>
      </c>
      <c r="T260" s="175">
        <v>18</v>
      </c>
    </row>
    <row r="261" spans="2:20" x14ac:dyDescent="0.3">
      <c r="B261" s="360" t="s">
        <v>219</v>
      </c>
      <c r="C261" s="360"/>
      <c r="D261" s="360"/>
      <c r="E261" s="360"/>
      <c r="F261" s="360"/>
      <c r="G261" s="360"/>
      <c r="H261" s="360"/>
      <c r="I261" s="360"/>
      <c r="J261" s="360"/>
      <c r="K261" s="360"/>
      <c r="L261" s="360"/>
      <c r="M261" s="360"/>
      <c r="N261" s="360"/>
      <c r="O261" s="360"/>
      <c r="P261" s="360"/>
      <c r="Q261" s="360"/>
      <c r="R261" s="360"/>
      <c r="S261" s="360"/>
      <c r="T261" s="360"/>
    </row>
    <row r="262" spans="2:20" ht="17.25" customHeight="1" x14ac:dyDescent="0.3">
      <c r="B262" s="188" t="s">
        <v>264</v>
      </c>
      <c r="C262" s="366" t="s">
        <v>265</v>
      </c>
      <c r="D262" s="366"/>
      <c r="E262" s="173">
        <v>30</v>
      </c>
      <c r="F262" s="173">
        <v>0.15</v>
      </c>
      <c r="G262" s="173">
        <v>0</v>
      </c>
      <c r="H262" s="173">
        <v>17.850000000000001</v>
      </c>
      <c r="I262" s="173">
        <v>71.7</v>
      </c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</row>
    <row r="263" spans="2:20" s="176" customFormat="1" ht="30" customHeight="1" x14ac:dyDescent="0.3">
      <c r="B263" s="177">
        <v>222</v>
      </c>
      <c r="C263" s="352" t="s">
        <v>181</v>
      </c>
      <c r="D263" s="352"/>
      <c r="E263" s="177">
        <v>170</v>
      </c>
      <c r="F263" s="177">
        <v>15.23</v>
      </c>
      <c r="G263" s="177">
        <v>17.5</v>
      </c>
      <c r="H263" s="177">
        <v>36.700000000000003</v>
      </c>
      <c r="I263" s="177">
        <v>355.9</v>
      </c>
      <c r="J263" s="177">
        <v>0.09</v>
      </c>
      <c r="K263" s="177">
        <v>0.3</v>
      </c>
      <c r="L263" s="177">
        <v>0.48</v>
      </c>
      <c r="M263" s="177">
        <v>0.22</v>
      </c>
      <c r="N263" s="177">
        <v>1.8</v>
      </c>
      <c r="O263" s="177">
        <v>143.69999999999999</v>
      </c>
      <c r="P263" s="177">
        <v>290.60000000000002</v>
      </c>
      <c r="Q263" s="177">
        <v>2.2000000000000002</v>
      </c>
      <c r="R263" s="177">
        <v>8.0000000000000002E-3</v>
      </c>
      <c r="S263" s="177">
        <v>48.51</v>
      </c>
      <c r="T263" s="177">
        <v>1.31</v>
      </c>
    </row>
    <row r="264" spans="2:20" ht="15.75" customHeight="1" x14ac:dyDescent="0.3">
      <c r="B264" s="173">
        <v>376</v>
      </c>
      <c r="C264" s="359" t="s">
        <v>141</v>
      </c>
      <c r="D264" s="359"/>
      <c r="E264" s="173">
        <v>200</v>
      </c>
      <c r="F264" s="173">
        <v>0.2</v>
      </c>
      <c r="G264" s="173">
        <v>0.05</v>
      </c>
      <c r="H264" s="173">
        <v>15.01</v>
      </c>
      <c r="I264" s="173">
        <v>61</v>
      </c>
      <c r="J264" s="173">
        <v>0</v>
      </c>
      <c r="K264" s="173">
        <v>0.01</v>
      </c>
      <c r="L264" s="173">
        <v>9</v>
      </c>
      <c r="M264" s="173">
        <v>1E-4</v>
      </c>
      <c r="N264" s="173">
        <v>4.4999999999999998E-2</v>
      </c>
      <c r="O264" s="173">
        <v>5.25</v>
      </c>
      <c r="P264" s="173">
        <v>8.24</v>
      </c>
      <c r="Q264" s="173">
        <v>8.0000000000000002E-3</v>
      </c>
      <c r="R264" s="173">
        <v>0</v>
      </c>
      <c r="S264" s="173">
        <v>4.4000000000000004</v>
      </c>
      <c r="T264" s="173">
        <v>0.87</v>
      </c>
    </row>
    <row r="265" spans="2:20" ht="18" customHeight="1" x14ac:dyDescent="0.3">
      <c r="B265" s="173" t="s">
        <v>224</v>
      </c>
      <c r="C265" s="359" t="s">
        <v>302</v>
      </c>
      <c r="D265" s="359"/>
      <c r="E265" s="173">
        <v>40</v>
      </c>
      <c r="F265" s="173">
        <v>2.67</v>
      </c>
      <c r="G265" s="173">
        <v>0.53</v>
      </c>
      <c r="H265" s="173">
        <v>13.73</v>
      </c>
      <c r="I265" s="173">
        <v>70.400000000000006</v>
      </c>
      <c r="J265" s="173">
        <v>0.13</v>
      </c>
      <c r="K265" s="173">
        <v>1.2999999999999999E-2</v>
      </c>
      <c r="L265" s="173">
        <v>0.1</v>
      </c>
      <c r="M265" s="173">
        <v>0</v>
      </c>
      <c r="N265" s="173">
        <v>0.93</v>
      </c>
      <c r="O265" s="173">
        <v>14</v>
      </c>
      <c r="P265" s="173">
        <v>63.2</v>
      </c>
      <c r="Q265" s="173">
        <v>1.2999999999999999E-2</v>
      </c>
      <c r="R265" s="173">
        <v>1.2999999999999999E-2</v>
      </c>
      <c r="S265" s="173">
        <v>18.8</v>
      </c>
      <c r="T265" s="173">
        <v>1.6</v>
      </c>
    </row>
    <row r="266" spans="2:20" x14ac:dyDescent="0.3">
      <c r="B266" s="360" t="s">
        <v>225</v>
      </c>
      <c r="C266" s="360"/>
      <c r="D266" s="360"/>
      <c r="E266" s="189">
        <f t="shared" ref="E266:T266" si="62">SUM(E262:E265)</f>
        <v>440</v>
      </c>
      <c r="F266" s="189">
        <f t="shared" si="62"/>
        <v>18.25</v>
      </c>
      <c r="G266" s="189">
        <f t="shared" si="62"/>
        <v>18.080000000000002</v>
      </c>
      <c r="H266" s="189">
        <f t="shared" si="62"/>
        <v>83.29</v>
      </c>
      <c r="I266" s="189">
        <f t="shared" si="62"/>
        <v>559</v>
      </c>
      <c r="J266" s="189">
        <f t="shared" si="62"/>
        <v>0.22</v>
      </c>
      <c r="K266" s="189">
        <f t="shared" si="62"/>
        <v>0.32300000000000001</v>
      </c>
      <c r="L266" s="189">
        <f t="shared" si="62"/>
        <v>9.58</v>
      </c>
      <c r="M266" s="189">
        <f t="shared" si="62"/>
        <v>0.22009999999999999</v>
      </c>
      <c r="N266" s="189">
        <f t="shared" si="62"/>
        <v>2.7749999999999999</v>
      </c>
      <c r="O266" s="189">
        <f t="shared" si="62"/>
        <v>162.94999999999999</v>
      </c>
      <c r="P266" s="189">
        <f t="shared" si="62"/>
        <v>362.04</v>
      </c>
      <c r="Q266" s="189">
        <f t="shared" si="62"/>
        <v>2.2210000000000001</v>
      </c>
      <c r="R266" s="189">
        <f t="shared" si="62"/>
        <v>2.0999999999999998E-2</v>
      </c>
      <c r="S266" s="189">
        <f t="shared" si="62"/>
        <v>71.709999999999994</v>
      </c>
      <c r="T266" s="189">
        <f t="shared" si="62"/>
        <v>3.7800000000000002</v>
      </c>
    </row>
    <row r="267" spans="2:20" x14ac:dyDescent="0.3">
      <c r="B267" s="360" t="s">
        <v>226</v>
      </c>
      <c r="C267" s="360"/>
      <c r="D267" s="360"/>
      <c r="E267" s="360"/>
      <c r="F267" s="190">
        <f t="shared" ref="F267:T267" si="63">F266/F284</f>
        <v>0.23701298701298701</v>
      </c>
      <c r="G267" s="190">
        <f t="shared" si="63"/>
        <v>0.22886075949367091</v>
      </c>
      <c r="H267" s="190">
        <f t="shared" si="63"/>
        <v>0.2486268656716418</v>
      </c>
      <c r="I267" s="190">
        <f t="shared" si="63"/>
        <v>0.2378723404255319</v>
      </c>
      <c r="J267" s="190">
        <f t="shared" si="63"/>
        <v>0.18333333333333335</v>
      </c>
      <c r="K267" s="190">
        <f t="shared" si="63"/>
        <v>0.23071428571428573</v>
      </c>
      <c r="L267" s="190">
        <f t="shared" si="63"/>
        <v>0.15966666666666668</v>
      </c>
      <c r="M267" s="191">
        <f t="shared" si="63"/>
        <v>0.31442857142857145</v>
      </c>
      <c r="N267" s="190">
        <f t="shared" si="63"/>
        <v>0.27749999999999997</v>
      </c>
      <c r="O267" s="190">
        <f t="shared" si="63"/>
        <v>0.14813636363636362</v>
      </c>
      <c r="P267" s="190">
        <f t="shared" si="63"/>
        <v>0.32912727272727277</v>
      </c>
      <c r="Q267" s="190">
        <f t="shared" si="63"/>
        <v>0.22210000000000002</v>
      </c>
      <c r="R267" s="190">
        <f t="shared" si="63"/>
        <v>0.20999999999999996</v>
      </c>
      <c r="S267" s="190">
        <f t="shared" si="63"/>
        <v>0.28683999999999998</v>
      </c>
      <c r="T267" s="190">
        <f t="shared" si="63"/>
        <v>0.315</v>
      </c>
    </row>
    <row r="268" spans="2:20" x14ac:dyDescent="0.3">
      <c r="B268" s="360" t="s">
        <v>227</v>
      </c>
      <c r="C268" s="360"/>
      <c r="D268" s="360"/>
      <c r="E268" s="360"/>
      <c r="F268" s="360"/>
      <c r="G268" s="360"/>
      <c r="H268" s="360"/>
      <c r="I268" s="360"/>
      <c r="J268" s="360"/>
      <c r="K268" s="360"/>
      <c r="L268" s="360"/>
      <c r="M268" s="360"/>
      <c r="N268" s="360"/>
      <c r="O268" s="360"/>
      <c r="P268" s="360"/>
      <c r="Q268" s="360"/>
      <c r="R268" s="360"/>
      <c r="S268" s="360"/>
      <c r="T268" s="360"/>
    </row>
    <row r="269" spans="2:20" s="196" customFormat="1" ht="16.5" customHeight="1" x14ac:dyDescent="0.3">
      <c r="B269" s="173" t="s">
        <v>313</v>
      </c>
      <c r="C269" s="359" t="s">
        <v>314</v>
      </c>
      <c r="D269" s="359"/>
      <c r="E269" s="173">
        <v>60</v>
      </c>
      <c r="F269" s="173">
        <v>0.76</v>
      </c>
      <c r="G269" s="173">
        <v>1.73</v>
      </c>
      <c r="H269" s="173">
        <v>4.26</v>
      </c>
      <c r="I269" s="173">
        <v>34.17</v>
      </c>
      <c r="J269" s="173">
        <v>0.03</v>
      </c>
      <c r="K269" s="173">
        <v>0</v>
      </c>
      <c r="L269" s="173">
        <v>2.41</v>
      </c>
      <c r="M269" s="173">
        <v>0.03</v>
      </c>
      <c r="N269" s="173"/>
      <c r="O269" s="173">
        <v>18.489999999999998</v>
      </c>
      <c r="P269" s="173">
        <v>31.36</v>
      </c>
      <c r="Q269" s="173"/>
      <c r="R269" s="173">
        <v>0</v>
      </c>
      <c r="S269" s="173">
        <v>20.5</v>
      </c>
      <c r="T269" s="173">
        <v>0.04</v>
      </c>
    </row>
    <row r="270" spans="2:20" ht="19.5" customHeight="1" x14ac:dyDescent="0.3">
      <c r="B270" s="173">
        <v>71</v>
      </c>
      <c r="C270" s="359" t="s">
        <v>173</v>
      </c>
      <c r="D270" s="359"/>
      <c r="E270" s="173">
        <v>60</v>
      </c>
      <c r="F270" s="173">
        <v>0.6</v>
      </c>
      <c r="G270" s="173">
        <v>2.7</v>
      </c>
      <c r="H270" s="173">
        <v>8.6999999999999993</v>
      </c>
      <c r="I270" s="173">
        <v>60</v>
      </c>
      <c r="J270" s="173">
        <v>0.01</v>
      </c>
      <c r="K270" s="173">
        <v>0.02</v>
      </c>
      <c r="L270" s="173">
        <v>2.2999999999999998</v>
      </c>
      <c r="M270" s="173">
        <v>0.01</v>
      </c>
      <c r="N270" s="173"/>
      <c r="O270" s="173">
        <v>12.29</v>
      </c>
      <c r="P270" s="173">
        <v>0</v>
      </c>
      <c r="Q270" s="173"/>
      <c r="R270" s="173">
        <v>0</v>
      </c>
      <c r="S270" s="173">
        <v>7.02</v>
      </c>
      <c r="T270" s="173">
        <v>0.32</v>
      </c>
    </row>
    <row r="271" spans="2:20" ht="18.75" customHeight="1" x14ac:dyDescent="0.3">
      <c r="B271" s="173" t="s">
        <v>289</v>
      </c>
      <c r="C271" s="359" t="s">
        <v>315</v>
      </c>
      <c r="D271" s="359"/>
      <c r="E271" s="173">
        <v>200</v>
      </c>
      <c r="F271" s="173">
        <v>2.1</v>
      </c>
      <c r="G271" s="173">
        <v>2.1</v>
      </c>
      <c r="H271" s="173">
        <v>15.5</v>
      </c>
      <c r="I271" s="173">
        <v>90</v>
      </c>
      <c r="J271" s="173">
        <v>0.08</v>
      </c>
      <c r="K271" s="173">
        <v>0.04</v>
      </c>
      <c r="L271" s="173">
        <v>5.6</v>
      </c>
      <c r="M271" s="173">
        <v>0.08</v>
      </c>
      <c r="N271" s="173"/>
      <c r="O271" s="173">
        <v>12.64</v>
      </c>
      <c r="P271" s="173">
        <v>0</v>
      </c>
      <c r="Q271" s="173"/>
      <c r="R271" s="173">
        <v>0</v>
      </c>
      <c r="S271" s="173">
        <v>19.2</v>
      </c>
      <c r="T271" s="173">
        <v>0.72</v>
      </c>
    </row>
    <row r="272" spans="2:20" ht="18.75" customHeight="1" x14ac:dyDescent="0.3">
      <c r="B272" s="173">
        <v>259</v>
      </c>
      <c r="C272" s="359" t="s">
        <v>316</v>
      </c>
      <c r="D272" s="359"/>
      <c r="E272" s="173">
        <v>240</v>
      </c>
      <c r="F272" s="173">
        <v>22.22</v>
      </c>
      <c r="G272" s="173">
        <v>24.82</v>
      </c>
      <c r="H272" s="173">
        <v>22.73</v>
      </c>
      <c r="I272" s="173">
        <v>404.57</v>
      </c>
      <c r="J272" s="173">
        <v>0.17</v>
      </c>
      <c r="K272" s="173">
        <v>0.24</v>
      </c>
      <c r="L272" s="173">
        <v>9.26</v>
      </c>
      <c r="M272" s="173">
        <v>0.17</v>
      </c>
      <c r="N272" s="173"/>
      <c r="O272" s="173">
        <v>41.83</v>
      </c>
      <c r="P272" s="173">
        <v>282.17</v>
      </c>
      <c r="Q272" s="173"/>
      <c r="R272" s="173">
        <v>0</v>
      </c>
      <c r="S272" s="173">
        <v>58.25</v>
      </c>
      <c r="T272" s="173">
        <v>5.3</v>
      </c>
    </row>
    <row r="273" spans="2:20" x14ac:dyDescent="0.3">
      <c r="B273" s="173">
        <v>377</v>
      </c>
      <c r="C273" s="359" t="s">
        <v>149</v>
      </c>
      <c r="D273" s="359"/>
      <c r="E273" s="173" t="s">
        <v>234</v>
      </c>
      <c r="F273" s="173">
        <v>0.26</v>
      </c>
      <c r="G273" s="173">
        <v>0.06</v>
      </c>
      <c r="H273" s="173">
        <v>15.22</v>
      </c>
      <c r="I273" s="173">
        <v>62.5</v>
      </c>
      <c r="J273" s="173"/>
      <c r="K273" s="173">
        <v>0.01</v>
      </c>
      <c r="L273" s="173">
        <v>2.9</v>
      </c>
      <c r="M273" s="173">
        <v>0</v>
      </c>
      <c r="N273" s="173">
        <v>0.06</v>
      </c>
      <c r="O273" s="173">
        <v>8.0500000000000007</v>
      </c>
      <c r="P273" s="173">
        <v>9.7799999999999994</v>
      </c>
      <c r="Q273" s="173">
        <v>1.7000000000000001E-2</v>
      </c>
      <c r="R273" s="173">
        <v>0</v>
      </c>
      <c r="S273" s="173">
        <v>5.24</v>
      </c>
      <c r="T273" s="173">
        <v>0.87</v>
      </c>
    </row>
    <row r="274" spans="2:20" ht="18.75" customHeight="1" x14ac:dyDescent="0.3">
      <c r="B274" s="173" t="s">
        <v>224</v>
      </c>
      <c r="C274" s="359" t="s">
        <v>235</v>
      </c>
      <c r="D274" s="359"/>
      <c r="E274" s="173">
        <v>40</v>
      </c>
      <c r="F274" s="173">
        <v>2.64</v>
      </c>
      <c r="G274" s="173">
        <v>0.48</v>
      </c>
      <c r="H274" s="173">
        <v>13.68</v>
      </c>
      <c r="I274" s="173">
        <v>69.599999999999994</v>
      </c>
      <c r="J274" s="173">
        <v>0.08</v>
      </c>
      <c r="K274" s="173">
        <v>0.04</v>
      </c>
      <c r="L274" s="173">
        <v>0</v>
      </c>
      <c r="M274" s="173">
        <v>0</v>
      </c>
      <c r="N274" s="173">
        <v>2.4</v>
      </c>
      <c r="O274" s="173">
        <v>14</v>
      </c>
      <c r="P274" s="173">
        <v>63.2</v>
      </c>
      <c r="Q274" s="173">
        <v>1.2</v>
      </c>
      <c r="R274" s="173">
        <v>1E-3</v>
      </c>
      <c r="S274" s="173">
        <v>9.4</v>
      </c>
      <c r="T274" s="173">
        <v>0.78</v>
      </c>
    </row>
    <row r="275" spans="2:20" x14ac:dyDescent="0.3">
      <c r="B275" s="173" t="s">
        <v>224</v>
      </c>
      <c r="C275" s="359" t="s">
        <v>117</v>
      </c>
      <c r="D275" s="359"/>
      <c r="E275" s="173">
        <v>30</v>
      </c>
      <c r="F275" s="173">
        <v>1.52</v>
      </c>
      <c r="G275" s="173">
        <v>0.16</v>
      </c>
      <c r="H275" s="173">
        <v>9.84</v>
      </c>
      <c r="I275" s="173">
        <v>46.9</v>
      </c>
      <c r="J275" s="173">
        <v>0.02</v>
      </c>
      <c r="K275" s="173">
        <v>0.01</v>
      </c>
      <c r="L275" s="173">
        <v>0.44</v>
      </c>
      <c r="M275" s="173">
        <v>0</v>
      </c>
      <c r="N275" s="173">
        <v>0.7</v>
      </c>
      <c r="O275" s="173">
        <v>4</v>
      </c>
      <c r="P275" s="173">
        <v>13</v>
      </c>
      <c r="Q275" s="173">
        <v>8.0000000000000002E-3</v>
      </c>
      <c r="R275" s="173">
        <v>1E-3</v>
      </c>
      <c r="S275" s="173">
        <v>0</v>
      </c>
      <c r="T275" s="173">
        <v>0.22</v>
      </c>
    </row>
    <row r="276" spans="2:20" ht="23.25" customHeight="1" x14ac:dyDescent="0.3">
      <c r="B276" s="360" t="s">
        <v>236</v>
      </c>
      <c r="C276" s="360"/>
      <c r="D276" s="360"/>
      <c r="E276" s="189">
        <f>E270+E271+E272+E274+E275+204</f>
        <v>774</v>
      </c>
      <c r="F276" s="189">
        <f>F270+F271+F272+F273+F274+F275</f>
        <v>29.34</v>
      </c>
      <c r="G276" s="189">
        <f t="shared" ref="G276:T276" si="64">G270+G271+G272+G273+G274+G275</f>
        <v>30.32</v>
      </c>
      <c r="H276" s="189">
        <f t="shared" si="64"/>
        <v>85.67</v>
      </c>
      <c r="I276" s="189">
        <f t="shared" si="64"/>
        <v>733.56999999999994</v>
      </c>
      <c r="J276" s="189">
        <f t="shared" si="64"/>
        <v>0.36000000000000004</v>
      </c>
      <c r="K276" s="189">
        <f t="shared" si="64"/>
        <v>0.36</v>
      </c>
      <c r="L276" s="189">
        <f t="shared" si="64"/>
        <v>20.5</v>
      </c>
      <c r="M276" s="189">
        <f t="shared" si="64"/>
        <v>0.26</v>
      </c>
      <c r="N276" s="189">
        <f t="shared" si="64"/>
        <v>3.16</v>
      </c>
      <c r="O276" s="189">
        <f t="shared" si="64"/>
        <v>92.809999999999988</v>
      </c>
      <c r="P276" s="189">
        <f t="shared" si="64"/>
        <v>368.15</v>
      </c>
      <c r="Q276" s="189">
        <f t="shared" si="64"/>
        <v>1.2249999999999999</v>
      </c>
      <c r="R276" s="189">
        <f t="shared" si="64"/>
        <v>2E-3</v>
      </c>
      <c r="S276" s="189">
        <f t="shared" si="64"/>
        <v>99.11</v>
      </c>
      <c r="T276" s="189">
        <f t="shared" si="64"/>
        <v>8.2100000000000009</v>
      </c>
    </row>
    <row r="277" spans="2:20" x14ac:dyDescent="0.3">
      <c r="B277" s="360" t="s">
        <v>226</v>
      </c>
      <c r="C277" s="360"/>
      <c r="D277" s="360"/>
      <c r="E277" s="360"/>
      <c r="F277" s="190">
        <f t="shared" ref="F277:T277" si="65">F276/F284</f>
        <v>0.38103896103896101</v>
      </c>
      <c r="G277" s="190">
        <f t="shared" si="65"/>
        <v>0.3837974683544304</v>
      </c>
      <c r="H277" s="190">
        <f t="shared" si="65"/>
        <v>0.2557313432835821</v>
      </c>
      <c r="I277" s="190">
        <f t="shared" si="65"/>
        <v>0.3121574468085106</v>
      </c>
      <c r="J277" s="190">
        <f t="shared" si="65"/>
        <v>0.30000000000000004</v>
      </c>
      <c r="K277" s="190">
        <f t="shared" si="65"/>
        <v>0.25714285714285717</v>
      </c>
      <c r="L277" s="190">
        <f t="shared" si="65"/>
        <v>0.34166666666666667</v>
      </c>
      <c r="M277" s="190">
        <f t="shared" si="65"/>
        <v>0.37142857142857144</v>
      </c>
      <c r="N277" s="190">
        <f t="shared" si="65"/>
        <v>0.316</v>
      </c>
      <c r="O277" s="190">
        <f t="shared" si="65"/>
        <v>8.4372727272727266E-2</v>
      </c>
      <c r="P277" s="190">
        <f t="shared" si="65"/>
        <v>0.33468181818181814</v>
      </c>
      <c r="Q277" s="190">
        <f t="shared" si="65"/>
        <v>0.12249999999999998</v>
      </c>
      <c r="R277" s="190">
        <f t="shared" si="65"/>
        <v>0.02</v>
      </c>
      <c r="S277" s="190">
        <f t="shared" si="65"/>
        <v>0.39644000000000001</v>
      </c>
      <c r="T277" s="190">
        <f t="shared" si="65"/>
        <v>0.6841666666666667</v>
      </c>
    </row>
    <row r="278" spans="2:20" x14ac:dyDescent="0.3">
      <c r="B278" s="360" t="s">
        <v>237</v>
      </c>
      <c r="C278" s="360"/>
      <c r="D278" s="360"/>
      <c r="E278" s="360"/>
      <c r="F278" s="360"/>
      <c r="G278" s="360"/>
      <c r="H278" s="360"/>
      <c r="I278" s="360"/>
      <c r="J278" s="360"/>
      <c r="K278" s="360"/>
      <c r="L278" s="360"/>
      <c r="M278" s="360"/>
      <c r="N278" s="360"/>
      <c r="O278" s="360"/>
      <c r="P278" s="360"/>
      <c r="Q278" s="360"/>
      <c r="R278" s="360"/>
      <c r="S278" s="360"/>
      <c r="T278" s="360"/>
    </row>
    <row r="279" spans="2:20" ht="21" customHeight="1" x14ac:dyDescent="0.3">
      <c r="B279" s="177" t="s">
        <v>224</v>
      </c>
      <c r="C279" s="352" t="s">
        <v>274</v>
      </c>
      <c r="D279" s="352"/>
      <c r="E279" s="177">
        <v>100</v>
      </c>
      <c r="F279" s="177">
        <v>13.08</v>
      </c>
      <c r="G279" s="177">
        <v>6.06</v>
      </c>
      <c r="H279" s="177">
        <v>49.58</v>
      </c>
      <c r="I279" s="177">
        <v>306</v>
      </c>
      <c r="J279" s="177">
        <v>0.14000000000000001</v>
      </c>
      <c r="K279" s="177">
        <v>0.18</v>
      </c>
      <c r="L279" s="177">
        <v>0.18</v>
      </c>
      <c r="M279" s="177">
        <v>0.14000000000000001</v>
      </c>
      <c r="N279" s="177"/>
      <c r="O279" s="177">
        <v>75.8</v>
      </c>
      <c r="P279" s="177">
        <v>140</v>
      </c>
      <c r="Q279" s="177"/>
      <c r="R279" s="177">
        <v>0</v>
      </c>
      <c r="S279" s="177">
        <v>34.6</v>
      </c>
      <c r="T279" s="177">
        <v>1.52</v>
      </c>
    </row>
    <row r="280" spans="2:20" ht="25.5" customHeight="1" x14ac:dyDescent="0.3">
      <c r="B280" s="177">
        <v>349</v>
      </c>
      <c r="C280" s="352" t="s">
        <v>239</v>
      </c>
      <c r="D280" s="352"/>
      <c r="E280" s="177">
        <v>200</v>
      </c>
      <c r="F280" s="177">
        <v>0.22</v>
      </c>
      <c r="G280" s="177">
        <v>0</v>
      </c>
      <c r="H280" s="177">
        <v>24.42</v>
      </c>
      <c r="I280" s="177">
        <v>98.56</v>
      </c>
      <c r="J280" s="177"/>
      <c r="K280" s="177"/>
      <c r="L280" s="177">
        <v>0.2</v>
      </c>
      <c r="M280" s="177"/>
      <c r="N280" s="177"/>
      <c r="O280" s="177">
        <v>22.6</v>
      </c>
      <c r="P280" s="177">
        <v>7.7</v>
      </c>
      <c r="Q280" s="177">
        <v>0</v>
      </c>
      <c r="R280" s="177">
        <v>0</v>
      </c>
      <c r="S280" s="177">
        <v>3</v>
      </c>
      <c r="T280" s="177">
        <v>0.66</v>
      </c>
    </row>
    <row r="281" spans="2:20" ht="15" customHeight="1" x14ac:dyDescent="0.3">
      <c r="B281" s="356" t="s">
        <v>240</v>
      </c>
      <c r="C281" s="357"/>
      <c r="D281" s="358"/>
      <c r="E281" s="178">
        <f>SUM(E279:E280)</f>
        <v>300</v>
      </c>
      <c r="F281" s="178">
        <f t="shared" ref="F281:T281" si="66">SUM(F279:F280)</f>
        <v>13.3</v>
      </c>
      <c r="G281" s="178">
        <f t="shared" si="66"/>
        <v>6.06</v>
      </c>
      <c r="H281" s="178">
        <f t="shared" si="66"/>
        <v>74</v>
      </c>
      <c r="I281" s="178">
        <f t="shared" si="66"/>
        <v>404.56</v>
      </c>
      <c r="J281" s="178">
        <f t="shared" si="66"/>
        <v>0.14000000000000001</v>
      </c>
      <c r="K281" s="178">
        <f t="shared" si="66"/>
        <v>0.18</v>
      </c>
      <c r="L281" s="178">
        <f t="shared" si="66"/>
        <v>0.38</v>
      </c>
      <c r="M281" s="178">
        <f t="shared" si="66"/>
        <v>0.14000000000000001</v>
      </c>
      <c r="N281" s="178">
        <f t="shared" si="66"/>
        <v>0</v>
      </c>
      <c r="O281" s="178">
        <f t="shared" si="66"/>
        <v>98.4</v>
      </c>
      <c r="P281" s="178">
        <f t="shared" si="66"/>
        <v>147.69999999999999</v>
      </c>
      <c r="Q281" s="178">
        <f t="shared" si="66"/>
        <v>0</v>
      </c>
      <c r="R281" s="178">
        <f t="shared" si="66"/>
        <v>0</v>
      </c>
      <c r="S281" s="178">
        <f t="shared" si="66"/>
        <v>37.6</v>
      </c>
      <c r="T281" s="178">
        <f t="shared" si="66"/>
        <v>2.1800000000000002</v>
      </c>
    </row>
    <row r="282" spans="2:20" x14ac:dyDescent="0.3">
      <c r="B282" s="360" t="s">
        <v>226</v>
      </c>
      <c r="C282" s="360"/>
      <c r="D282" s="360"/>
      <c r="E282" s="360"/>
      <c r="F282" s="190">
        <f>F281/F284</f>
        <v>0.17272727272727273</v>
      </c>
      <c r="G282" s="190">
        <f t="shared" ref="G282:T282" si="67">G281/G284</f>
        <v>7.6708860759493666E-2</v>
      </c>
      <c r="H282" s="190">
        <f t="shared" si="67"/>
        <v>0.22089552238805971</v>
      </c>
      <c r="I282" s="190">
        <f t="shared" si="67"/>
        <v>0.1721531914893617</v>
      </c>
      <c r="J282" s="190">
        <f t="shared" si="67"/>
        <v>0.11666666666666668</v>
      </c>
      <c r="K282" s="190">
        <f t="shared" si="67"/>
        <v>0.12857142857142859</v>
      </c>
      <c r="L282" s="190">
        <f t="shared" si="67"/>
        <v>6.3333333333333332E-3</v>
      </c>
      <c r="M282" s="190">
        <f t="shared" si="67"/>
        <v>0.20000000000000004</v>
      </c>
      <c r="N282" s="190">
        <f t="shared" si="67"/>
        <v>0</v>
      </c>
      <c r="O282" s="190">
        <f t="shared" si="67"/>
        <v>8.9454545454545453E-2</v>
      </c>
      <c r="P282" s="190">
        <f t="shared" si="67"/>
        <v>0.13427272727272727</v>
      </c>
      <c r="Q282" s="190">
        <f t="shared" si="67"/>
        <v>0</v>
      </c>
      <c r="R282" s="190">
        <f t="shared" si="67"/>
        <v>0</v>
      </c>
      <c r="S282" s="190">
        <f t="shared" si="67"/>
        <v>0.15040000000000001</v>
      </c>
      <c r="T282" s="190">
        <f t="shared" si="67"/>
        <v>0.18166666666666667</v>
      </c>
    </row>
    <row r="283" spans="2:20" x14ac:dyDescent="0.3">
      <c r="B283" s="360" t="s">
        <v>241</v>
      </c>
      <c r="C283" s="360"/>
      <c r="D283" s="360"/>
      <c r="E283" s="360"/>
      <c r="F283" s="189">
        <f>F281+F276+F266</f>
        <v>60.89</v>
      </c>
      <c r="G283" s="189">
        <f t="shared" ref="G283:T283" si="68">G281+G276+G266</f>
        <v>54.460000000000008</v>
      </c>
      <c r="H283" s="189">
        <f t="shared" si="68"/>
        <v>242.96000000000004</v>
      </c>
      <c r="I283" s="189">
        <f t="shared" si="68"/>
        <v>1697.1299999999999</v>
      </c>
      <c r="J283" s="189">
        <f t="shared" si="68"/>
        <v>0.72</v>
      </c>
      <c r="K283" s="189">
        <f t="shared" si="68"/>
        <v>0.86299999999999999</v>
      </c>
      <c r="L283" s="189">
        <f t="shared" si="68"/>
        <v>30.46</v>
      </c>
      <c r="M283" s="189">
        <f t="shared" si="68"/>
        <v>0.62009999999999998</v>
      </c>
      <c r="N283" s="189">
        <f t="shared" si="68"/>
        <v>5.9350000000000005</v>
      </c>
      <c r="O283" s="189">
        <f t="shared" si="68"/>
        <v>354.15999999999997</v>
      </c>
      <c r="P283" s="189">
        <f t="shared" si="68"/>
        <v>877.88999999999987</v>
      </c>
      <c r="Q283" s="189">
        <f t="shared" si="68"/>
        <v>3.4459999999999997</v>
      </c>
      <c r="R283" s="189">
        <f t="shared" si="68"/>
        <v>2.3E-2</v>
      </c>
      <c r="S283" s="189">
        <f t="shared" si="68"/>
        <v>208.42000000000002</v>
      </c>
      <c r="T283" s="189">
        <f t="shared" si="68"/>
        <v>14.170000000000002</v>
      </c>
    </row>
    <row r="284" spans="2:20" x14ac:dyDescent="0.3">
      <c r="B284" s="360" t="s">
        <v>242</v>
      </c>
      <c r="C284" s="360"/>
      <c r="D284" s="360"/>
      <c r="E284" s="360"/>
      <c r="F284" s="173">
        <v>77</v>
      </c>
      <c r="G284" s="173">
        <v>79</v>
      </c>
      <c r="H284" s="173">
        <v>335</v>
      </c>
      <c r="I284" s="173">
        <v>2350</v>
      </c>
      <c r="J284" s="173">
        <v>1.2</v>
      </c>
      <c r="K284" s="173">
        <v>1.4</v>
      </c>
      <c r="L284" s="173">
        <v>60</v>
      </c>
      <c r="M284" s="173">
        <v>0.7</v>
      </c>
      <c r="N284" s="173">
        <v>10</v>
      </c>
      <c r="O284" s="173">
        <v>1100</v>
      </c>
      <c r="P284" s="173">
        <v>1100</v>
      </c>
      <c r="Q284" s="173">
        <v>10</v>
      </c>
      <c r="R284" s="173">
        <v>0.1</v>
      </c>
      <c r="S284" s="173">
        <v>250</v>
      </c>
      <c r="T284" s="173">
        <v>12</v>
      </c>
    </row>
    <row r="285" spans="2:20" x14ac:dyDescent="0.3">
      <c r="B285" s="360" t="s">
        <v>226</v>
      </c>
      <c r="C285" s="360"/>
      <c r="D285" s="360"/>
      <c r="E285" s="360"/>
      <c r="F285" s="190">
        <f>F283/F284</f>
        <v>0.7907792207792208</v>
      </c>
      <c r="G285" s="190">
        <f t="shared" ref="G285:T285" si="69">G283/G284</f>
        <v>0.68936708860759499</v>
      </c>
      <c r="H285" s="190">
        <f t="shared" si="69"/>
        <v>0.72525373134328364</v>
      </c>
      <c r="I285" s="190">
        <f t="shared" si="69"/>
        <v>0.7221829787234042</v>
      </c>
      <c r="J285" s="190">
        <f t="shared" si="69"/>
        <v>0.6</v>
      </c>
      <c r="K285" s="190">
        <f t="shared" si="69"/>
        <v>0.61642857142857144</v>
      </c>
      <c r="L285" s="190">
        <f t="shared" si="69"/>
        <v>0.50766666666666671</v>
      </c>
      <c r="M285" s="190">
        <f t="shared" si="69"/>
        <v>0.8858571428571429</v>
      </c>
      <c r="N285" s="190">
        <f t="shared" si="69"/>
        <v>0.59350000000000003</v>
      </c>
      <c r="O285" s="190">
        <f t="shared" si="69"/>
        <v>0.32196363636363634</v>
      </c>
      <c r="P285" s="190">
        <f t="shared" si="69"/>
        <v>0.79808181818181811</v>
      </c>
      <c r="Q285" s="190">
        <f t="shared" si="69"/>
        <v>0.34459999999999996</v>
      </c>
      <c r="R285" s="190">
        <f t="shared" si="69"/>
        <v>0.22999999999999998</v>
      </c>
      <c r="S285" s="190">
        <f t="shared" si="69"/>
        <v>0.83368000000000009</v>
      </c>
      <c r="T285" s="190">
        <f t="shared" si="69"/>
        <v>1.1808333333333334</v>
      </c>
    </row>
    <row r="286" spans="2:20" ht="28.5" customHeight="1" x14ac:dyDescent="0.3">
      <c r="B286" s="363" t="s">
        <v>259</v>
      </c>
      <c r="C286" s="363"/>
      <c r="D286" s="363"/>
      <c r="E286" s="363"/>
      <c r="F286" s="363"/>
      <c r="G286" s="363"/>
      <c r="H286" s="363"/>
      <c r="I286" s="363"/>
      <c r="J286" s="173"/>
      <c r="K286" s="173"/>
      <c r="L286" s="173"/>
      <c r="M286" s="363" t="s">
        <v>187</v>
      </c>
      <c r="N286" s="363"/>
      <c r="O286" s="363"/>
      <c r="P286" s="363"/>
      <c r="Q286" s="363"/>
      <c r="R286" s="363"/>
      <c r="S286" s="363"/>
      <c r="T286" s="363"/>
    </row>
    <row r="287" spans="2:20" x14ac:dyDescent="0.3">
      <c r="B287" s="173"/>
      <c r="C287" s="173"/>
      <c r="D287" s="189"/>
      <c r="E287" s="189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</row>
    <row r="288" spans="2:20" x14ac:dyDescent="0.3">
      <c r="B288" s="360" t="s">
        <v>317</v>
      </c>
      <c r="C288" s="360"/>
      <c r="D288" s="360"/>
      <c r="E288" s="360"/>
      <c r="F288" s="360"/>
      <c r="G288" s="360"/>
      <c r="H288" s="360"/>
      <c r="I288" s="360"/>
      <c r="J288" s="360"/>
      <c r="K288" s="360"/>
      <c r="L288" s="360"/>
      <c r="M288" s="360"/>
      <c r="N288" s="360"/>
      <c r="O288" s="360"/>
      <c r="P288" s="360"/>
      <c r="Q288" s="360"/>
      <c r="R288" s="360"/>
      <c r="S288" s="360"/>
      <c r="T288" s="360"/>
    </row>
    <row r="289" spans="2:20" x14ac:dyDescent="0.3">
      <c r="B289" s="360" t="s">
        <v>189</v>
      </c>
      <c r="C289" s="360"/>
      <c r="D289" s="173"/>
      <c r="E289" s="173"/>
      <c r="F289" s="173"/>
      <c r="G289" s="363" t="s">
        <v>276</v>
      </c>
      <c r="H289" s="363"/>
      <c r="I289" s="363"/>
      <c r="J289" s="173"/>
      <c r="K289" s="173"/>
      <c r="L289" s="360" t="s">
        <v>191</v>
      </c>
      <c r="M289" s="360"/>
      <c r="N289" s="363" t="s">
        <v>192</v>
      </c>
      <c r="O289" s="363"/>
      <c r="P289" s="363"/>
      <c r="Q289" s="363"/>
      <c r="R289" s="173"/>
      <c r="S289" s="173"/>
      <c r="T289" s="173"/>
    </row>
    <row r="290" spans="2:20" x14ac:dyDescent="0.3">
      <c r="B290" s="173"/>
      <c r="C290" s="173"/>
      <c r="D290" s="173"/>
      <c r="E290" s="360" t="s">
        <v>194</v>
      </c>
      <c r="F290" s="360"/>
      <c r="G290" s="173">
        <v>2</v>
      </c>
      <c r="H290" s="173"/>
      <c r="I290" s="173"/>
      <c r="J290" s="173"/>
      <c r="K290" s="173"/>
      <c r="L290" s="360" t="s">
        <v>195</v>
      </c>
      <c r="M290" s="360"/>
      <c r="N290" s="363" t="s">
        <v>196</v>
      </c>
      <c r="O290" s="363"/>
      <c r="P290" s="363"/>
      <c r="Q290" s="363"/>
      <c r="R290" s="363"/>
      <c r="S290" s="363"/>
      <c r="T290" s="363"/>
    </row>
    <row r="291" spans="2:20" x14ac:dyDescent="0.3">
      <c r="B291" s="174" t="s">
        <v>0</v>
      </c>
      <c r="C291" s="361" t="s">
        <v>198</v>
      </c>
      <c r="D291" s="361"/>
      <c r="E291" s="361" t="s">
        <v>199</v>
      </c>
      <c r="F291" s="361" t="s">
        <v>200</v>
      </c>
      <c r="G291" s="361"/>
      <c r="H291" s="361"/>
      <c r="I291" s="174" t="s">
        <v>201</v>
      </c>
      <c r="J291" s="361" t="s">
        <v>202</v>
      </c>
      <c r="K291" s="361"/>
      <c r="L291" s="361"/>
      <c r="M291" s="361"/>
      <c r="N291" s="361"/>
      <c r="O291" s="361" t="s">
        <v>203</v>
      </c>
      <c r="P291" s="361"/>
      <c r="Q291" s="361"/>
      <c r="R291" s="361"/>
      <c r="S291" s="361"/>
      <c r="T291" s="361"/>
    </row>
    <row r="292" spans="2:20" ht="52.8" x14ac:dyDescent="0.3">
      <c r="B292" s="174" t="s">
        <v>245</v>
      </c>
      <c r="C292" s="361"/>
      <c r="D292" s="361"/>
      <c r="E292" s="361"/>
      <c r="F292" s="174" t="s">
        <v>204</v>
      </c>
      <c r="G292" s="174" t="s">
        <v>205</v>
      </c>
      <c r="H292" s="174" t="s">
        <v>206</v>
      </c>
      <c r="I292" s="174" t="s">
        <v>207</v>
      </c>
      <c r="J292" s="174" t="s">
        <v>208</v>
      </c>
      <c r="K292" s="174" t="s">
        <v>209</v>
      </c>
      <c r="L292" s="174" t="s">
        <v>210</v>
      </c>
      <c r="M292" s="174" t="s">
        <v>211</v>
      </c>
      <c r="N292" s="174" t="s">
        <v>212</v>
      </c>
      <c r="O292" s="174" t="s">
        <v>213</v>
      </c>
      <c r="P292" s="174" t="s">
        <v>214</v>
      </c>
      <c r="Q292" s="174" t="s">
        <v>215</v>
      </c>
      <c r="R292" s="174" t="s">
        <v>216</v>
      </c>
      <c r="S292" s="174" t="s">
        <v>217</v>
      </c>
      <c r="T292" s="174" t="s">
        <v>218</v>
      </c>
    </row>
    <row r="293" spans="2:20" x14ac:dyDescent="0.3">
      <c r="B293" s="175">
        <v>1</v>
      </c>
      <c r="C293" s="362">
        <v>2</v>
      </c>
      <c r="D293" s="362"/>
      <c r="E293" s="175">
        <v>3</v>
      </c>
      <c r="F293" s="175">
        <v>4</v>
      </c>
      <c r="G293" s="175">
        <v>5</v>
      </c>
      <c r="H293" s="175">
        <v>6</v>
      </c>
      <c r="I293" s="175">
        <v>7</v>
      </c>
      <c r="J293" s="175">
        <v>8</v>
      </c>
      <c r="K293" s="175">
        <v>9</v>
      </c>
      <c r="L293" s="175">
        <v>10</v>
      </c>
      <c r="M293" s="175">
        <v>11</v>
      </c>
      <c r="N293" s="175">
        <v>12</v>
      </c>
      <c r="O293" s="175">
        <v>13</v>
      </c>
      <c r="P293" s="175">
        <v>14</v>
      </c>
      <c r="Q293" s="175">
        <v>15</v>
      </c>
      <c r="R293" s="175">
        <v>16</v>
      </c>
      <c r="S293" s="175">
        <v>17</v>
      </c>
      <c r="T293" s="175">
        <v>18</v>
      </c>
    </row>
    <row r="294" spans="2:20" x14ac:dyDescent="0.3">
      <c r="B294" s="360" t="s">
        <v>246</v>
      </c>
      <c r="C294" s="360"/>
      <c r="D294" s="360"/>
      <c r="E294" s="360"/>
      <c r="F294" s="360"/>
      <c r="G294" s="360"/>
      <c r="H294" s="360"/>
      <c r="I294" s="360"/>
      <c r="J294" s="360"/>
      <c r="K294" s="360"/>
      <c r="L294" s="360"/>
      <c r="M294" s="360"/>
      <c r="N294" s="360"/>
      <c r="O294" s="360"/>
      <c r="P294" s="360"/>
      <c r="Q294" s="360"/>
      <c r="R294" s="360"/>
      <c r="S294" s="360"/>
      <c r="T294" s="360"/>
    </row>
    <row r="295" spans="2:20" s="176" customFormat="1" ht="27.75" customHeight="1" x14ac:dyDescent="0.3">
      <c r="B295" s="177" t="s">
        <v>318</v>
      </c>
      <c r="C295" s="364" t="s">
        <v>319</v>
      </c>
      <c r="D295" s="365"/>
      <c r="E295" s="177">
        <v>30</v>
      </c>
      <c r="F295" s="177">
        <v>0.56999999999999995</v>
      </c>
      <c r="G295" s="177">
        <v>2.67</v>
      </c>
      <c r="H295" s="177">
        <v>2.31</v>
      </c>
      <c r="I295" s="184">
        <v>35.700000000000003</v>
      </c>
      <c r="J295" s="177">
        <v>0.01</v>
      </c>
      <c r="K295" s="177">
        <v>0</v>
      </c>
      <c r="L295" s="177">
        <v>2.1</v>
      </c>
      <c r="M295" s="177">
        <v>0.01</v>
      </c>
      <c r="N295" s="177"/>
      <c r="O295" s="177">
        <v>12.3</v>
      </c>
      <c r="P295" s="177">
        <v>11.1</v>
      </c>
      <c r="Q295" s="177"/>
      <c r="R295" s="177">
        <v>0</v>
      </c>
      <c r="S295" s="177">
        <v>4.5</v>
      </c>
      <c r="T295" s="177">
        <v>0.21</v>
      </c>
    </row>
    <row r="296" spans="2:20" ht="27.75" customHeight="1" x14ac:dyDescent="0.3">
      <c r="B296" s="200">
        <v>71</v>
      </c>
      <c r="C296" s="352" t="s">
        <v>247</v>
      </c>
      <c r="D296" s="352"/>
      <c r="E296" s="200">
        <v>40</v>
      </c>
      <c r="F296" s="200">
        <v>0.33</v>
      </c>
      <c r="G296" s="200">
        <v>0.04</v>
      </c>
      <c r="H296" s="200">
        <v>1.1299999999999999</v>
      </c>
      <c r="I296" s="200">
        <v>6.23</v>
      </c>
      <c r="J296" s="200">
        <v>8.9999999999999993E-3</v>
      </c>
      <c r="K296" s="200">
        <v>0.01</v>
      </c>
      <c r="L296" s="200">
        <v>3</v>
      </c>
      <c r="M296" s="200">
        <v>3.0000000000000001E-3</v>
      </c>
      <c r="N296" s="200">
        <v>0.03</v>
      </c>
      <c r="O296" s="200">
        <v>6.9</v>
      </c>
      <c r="P296" s="200">
        <v>12.6</v>
      </c>
      <c r="Q296" s="200">
        <v>6.4000000000000001E-2</v>
      </c>
      <c r="R296" s="200">
        <v>1E-3</v>
      </c>
      <c r="S296" s="200">
        <v>4.2</v>
      </c>
      <c r="T296" s="200">
        <v>0.18</v>
      </c>
    </row>
    <row r="297" spans="2:20" s="176" customFormat="1" ht="25.5" customHeight="1" x14ac:dyDescent="0.3">
      <c r="B297" s="177">
        <v>279</v>
      </c>
      <c r="C297" s="352" t="s">
        <v>320</v>
      </c>
      <c r="D297" s="352"/>
      <c r="E297" s="177" t="s">
        <v>321</v>
      </c>
      <c r="F297" s="177">
        <v>11.7</v>
      </c>
      <c r="G297" s="177">
        <v>14.1</v>
      </c>
      <c r="H297" s="177">
        <v>14.9</v>
      </c>
      <c r="I297" s="177">
        <v>233.4</v>
      </c>
      <c r="J297" s="177">
        <v>0.16</v>
      </c>
      <c r="K297" s="177">
        <v>0.13</v>
      </c>
      <c r="L297" s="177">
        <v>0.31</v>
      </c>
      <c r="M297" s="177">
        <v>8.9999999999999993E-3</v>
      </c>
      <c r="N297" s="177">
        <v>0.01</v>
      </c>
      <c r="O297" s="177">
        <v>12.65</v>
      </c>
      <c r="P297" s="177">
        <v>138.55000000000001</v>
      </c>
      <c r="Q297" s="177">
        <v>1.99</v>
      </c>
      <c r="R297" s="177">
        <v>0.03</v>
      </c>
      <c r="S297" s="177">
        <v>20.29</v>
      </c>
      <c r="T297" s="177">
        <v>1.73</v>
      </c>
    </row>
    <row r="298" spans="2:20" ht="25.5" customHeight="1" x14ac:dyDescent="0.3">
      <c r="B298" s="173">
        <v>203</v>
      </c>
      <c r="C298" s="359" t="s">
        <v>304</v>
      </c>
      <c r="D298" s="359"/>
      <c r="E298" s="173">
        <v>150</v>
      </c>
      <c r="F298" s="173">
        <v>5.52</v>
      </c>
      <c r="G298" s="173">
        <v>4.5199999999999996</v>
      </c>
      <c r="H298" s="173">
        <v>26.45</v>
      </c>
      <c r="I298" s="173">
        <v>161.9</v>
      </c>
      <c r="J298" s="173">
        <v>0.09</v>
      </c>
      <c r="K298" s="173">
        <v>0.03</v>
      </c>
      <c r="L298" s="173">
        <v>0</v>
      </c>
      <c r="M298" s="173">
        <v>0.03</v>
      </c>
      <c r="N298" s="173">
        <v>1.25</v>
      </c>
      <c r="O298" s="173">
        <v>13.28</v>
      </c>
      <c r="P298" s="173">
        <v>46.21</v>
      </c>
      <c r="Q298" s="173">
        <v>0.78</v>
      </c>
      <c r="R298" s="173">
        <v>2E-3</v>
      </c>
      <c r="S298" s="173">
        <v>8.4700000000000006</v>
      </c>
      <c r="T298" s="173">
        <v>0.86</v>
      </c>
    </row>
    <row r="299" spans="2:20" ht="18.75" customHeight="1" x14ac:dyDescent="0.3">
      <c r="B299" s="173">
        <v>338</v>
      </c>
      <c r="C299" s="359" t="s">
        <v>288</v>
      </c>
      <c r="D299" s="359"/>
      <c r="E299" s="173">
        <v>100</v>
      </c>
      <c r="F299" s="173">
        <v>0.4</v>
      </c>
      <c r="G299" s="173">
        <v>0.4</v>
      </c>
      <c r="H299" s="173">
        <v>9.8000000000000007</v>
      </c>
      <c r="I299" s="173">
        <v>44.4</v>
      </c>
      <c r="J299" s="173">
        <v>0.04</v>
      </c>
      <c r="K299" s="173">
        <v>0.02</v>
      </c>
      <c r="L299" s="173">
        <v>10</v>
      </c>
      <c r="M299" s="173">
        <v>0</v>
      </c>
      <c r="N299" s="173">
        <v>0.2</v>
      </c>
      <c r="O299" s="173">
        <v>16</v>
      </c>
      <c r="P299" s="173">
        <v>11</v>
      </c>
      <c r="Q299" s="173">
        <v>0</v>
      </c>
      <c r="R299" s="173">
        <v>0</v>
      </c>
      <c r="S299" s="173">
        <v>9</v>
      </c>
      <c r="T299" s="173">
        <v>2.2000000000000002</v>
      </c>
    </row>
    <row r="300" spans="2:20" ht="18.75" customHeight="1" x14ac:dyDescent="0.3">
      <c r="B300" s="173">
        <v>381</v>
      </c>
      <c r="C300" s="359" t="s">
        <v>322</v>
      </c>
      <c r="D300" s="359"/>
      <c r="E300" s="173">
        <v>200</v>
      </c>
      <c r="F300" s="173"/>
      <c r="G300" s="173"/>
      <c r="H300" s="173">
        <v>19.96</v>
      </c>
      <c r="I300" s="173">
        <v>75</v>
      </c>
      <c r="J300" s="173"/>
      <c r="K300" s="173"/>
      <c r="L300" s="173"/>
      <c r="M300" s="173"/>
      <c r="N300" s="173">
        <v>0</v>
      </c>
      <c r="O300" s="173">
        <v>0.4</v>
      </c>
      <c r="P300" s="173"/>
      <c r="Q300" s="173">
        <v>0</v>
      </c>
      <c r="R300" s="173"/>
      <c r="S300" s="173"/>
      <c r="T300" s="173">
        <v>0.06</v>
      </c>
    </row>
    <row r="301" spans="2:20" ht="18.75" customHeight="1" x14ac:dyDescent="0.3">
      <c r="B301" s="173" t="s">
        <v>224</v>
      </c>
      <c r="C301" s="359" t="s">
        <v>161</v>
      </c>
      <c r="D301" s="359"/>
      <c r="E301" s="173">
        <v>40</v>
      </c>
      <c r="F301" s="173">
        <v>3.04</v>
      </c>
      <c r="G301" s="173">
        <v>0.32</v>
      </c>
      <c r="H301" s="173">
        <v>19.68</v>
      </c>
      <c r="I301" s="173">
        <v>89</v>
      </c>
      <c r="J301" s="173">
        <v>0.04</v>
      </c>
      <c r="K301" s="173">
        <v>0.01</v>
      </c>
      <c r="L301" s="173">
        <v>0.88</v>
      </c>
      <c r="M301" s="173">
        <v>0</v>
      </c>
      <c r="N301" s="173">
        <v>0.7</v>
      </c>
      <c r="O301" s="173">
        <v>8</v>
      </c>
      <c r="P301" s="173">
        <v>26</v>
      </c>
      <c r="Q301" s="173">
        <v>8.0000000000000002E-3</v>
      </c>
      <c r="R301" s="173">
        <v>3.0000000000000001E-3</v>
      </c>
      <c r="S301" s="173">
        <v>0</v>
      </c>
      <c r="T301" s="173">
        <v>0.44</v>
      </c>
    </row>
    <row r="302" spans="2:20" x14ac:dyDescent="0.3">
      <c r="B302" s="193" t="s">
        <v>251</v>
      </c>
      <c r="C302" s="194"/>
      <c r="D302" s="195"/>
      <c r="E302" s="189">
        <f>E296+E298+E299+E300+E301+100</f>
        <v>630</v>
      </c>
      <c r="F302" s="189">
        <f>F296+F297+F298+F299+F300+F301</f>
        <v>20.989999999999995</v>
      </c>
      <c r="G302" s="189">
        <f t="shared" ref="G302:T302" si="70">G296+G297+G298+G299+G300+G301</f>
        <v>19.379999999999995</v>
      </c>
      <c r="H302" s="189">
        <f t="shared" si="70"/>
        <v>91.920000000000016</v>
      </c>
      <c r="I302" s="189">
        <f t="shared" si="70"/>
        <v>609.92999999999995</v>
      </c>
      <c r="J302" s="189">
        <f t="shared" si="70"/>
        <v>0.33899999999999997</v>
      </c>
      <c r="K302" s="189">
        <f t="shared" si="70"/>
        <v>0.2</v>
      </c>
      <c r="L302" s="189">
        <f t="shared" si="70"/>
        <v>14.190000000000001</v>
      </c>
      <c r="M302" s="189">
        <f t="shared" si="70"/>
        <v>4.1999999999999996E-2</v>
      </c>
      <c r="N302" s="189">
        <f t="shared" si="70"/>
        <v>2.19</v>
      </c>
      <c r="O302" s="189">
        <f t="shared" si="70"/>
        <v>57.23</v>
      </c>
      <c r="P302" s="189">
        <f t="shared" si="70"/>
        <v>234.36</v>
      </c>
      <c r="Q302" s="189">
        <f t="shared" si="70"/>
        <v>2.8419999999999996</v>
      </c>
      <c r="R302" s="189">
        <f t="shared" si="70"/>
        <v>3.6000000000000004E-2</v>
      </c>
      <c r="S302" s="189">
        <f t="shared" si="70"/>
        <v>41.96</v>
      </c>
      <c r="T302" s="189">
        <f t="shared" si="70"/>
        <v>5.4700000000000006</v>
      </c>
    </row>
    <row r="303" spans="2:20" x14ac:dyDescent="0.3">
      <c r="B303" s="360" t="s">
        <v>226</v>
      </c>
      <c r="C303" s="360"/>
      <c r="D303" s="360"/>
      <c r="E303" s="360"/>
      <c r="F303" s="190">
        <f t="shared" ref="F303:T303" si="71">F302/F320</f>
        <v>0.27259740259740251</v>
      </c>
      <c r="G303" s="190">
        <f t="shared" si="71"/>
        <v>0.24531645569620247</v>
      </c>
      <c r="H303" s="190">
        <f t="shared" si="71"/>
        <v>0.2743880597014926</v>
      </c>
      <c r="I303" s="190">
        <f t="shared" si="71"/>
        <v>0.2595446808510638</v>
      </c>
      <c r="J303" s="190">
        <f t="shared" si="71"/>
        <v>0.28249999999999997</v>
      </c>
      <c r="K303" s="190">
        <f t="shared" si="71"/>
        <v>0.14285714285714288</v>
      </c>
      <c r="L303" s="190">
        <f t="shared" si="71"/>
        <v>0.23650000000000002</v>
      </c>
      <c r="M303" s="190">
        <f t="shared" si="71"/>
        <v>0.06</v>
      </c>
      <c r="N303" s="190">
        <f t="shared" si="71"/>
        <v>0.219</v>
      </c>
      <c r="O303" s="190">
        <f t="shared" si="71"/>
        <v>5.2027272727272728E-2</v>
      </c>
      <c r="P303" s="190">
        <f t="shared" si="71"/>
        <v>0.21305454545454547</v>
      </c>
      <c r="Q303" s="190">
        <f t="shared" si="71"/>
        <v>0.28419999999999995</v>
      </c>
      <c r="R303" s="190">
        <f t="shared" si="71"/>
        <v>0.36000000000000004</v>
      </c>
      <c r="S303" s="190">
        <f t="shared" si="71"/>
        <v>0.16784000000000002</v>
      </c>
      <c r="T303" s="190">
        <f t="shared" si="71"/>
        <v>0.45583333333333337</v>
      </c>
    </row>
    <row r="304" spans="2:20" x14ac:dyDescent="0.3">
      <c r="B304" s="360" t="s">
        <v>227</v>
      </c>
      <c r="C304" s="360"/>
      <c r="D304" s="360"/>
      <c r="E304" s="360"/>
      <c r="F304" s="360"/>
      <c r="G304" s="360"/>
      <c r="H304" s="360"/>
      <c r="I304" s="360"/>
      <c r="J304" s="360"/>
      <c r="K304" s="360"/>
      <c r="L304" s="360"/>
      <c r="M304" s="360"/>
      <c r="N304" s="360"/>
      <c r="O304" s="360"/>
      <c r="P304" s="360"/>
      <c r="Q304" s="360"/>
      <c r="R304" s="360"/>
      <c r="S304" s="360"/>
      <c r="T304" s="360"/>
    </row>
    <row r="305" spans="2:20" ht="28.5" customHeight="1" x14ac:dyDescent="0.3">
      <c r="B305" s="173">
        <v>52</v>
      </c>
      <c r="C305" s="359" t="s">
        <v>252</v>
      </c>
      <c r="D305" s="359"/>
      <c r="E305" s="173">
        <v>60</v>
      </c>
      <c r="F305" s="173">
        <v>0.86</v>
      </c>
      <c r="G305" s="173">
        <v>3.05</v>
      </c>
      <c r="H305" s="173">
        <v>5.13</v>
      </c>
      <c r="I305" s="173">
        <v>50.13</v>
      </c>
      <c r="J305" s="173">
        <v>0.01</v>
      </c>
      <c r="K305" s="173">
        <v>0.02</v>
      </c>
      <c r="L305" s="173">
        <v>5.7</v>
      </c>
      <c r="M305" s="173">
        <v>0.01</v>
      </c>
      <c r="N305" s="173">
        <v>0.1</v>
      </c>
      <c r="O305" s="173">
        <v>26.61</v>
      </c>
      <c r="P305" s="173">
        <v>25.64</v>
      </c>
      <c r="Q305" s="173">
        <v>0.43</v>
      </c>
      <c r="R305" s="173">
        <v>0.01</v>
      </c>
      <c r="S305" s="173">
        <v>12.9</v>
      </c>
      <c r="T305" s="173">
        <v>0.84</v>
      </c>
    </row>
    <row r="306" spans="2:20" ht="32.25" customHeight="1" x14ac:dyDescent="0.3">
      <c r="B306" s="173">
        <v>124</v>
      </c>
      <c r="C306" s="359" t="s">
        <v>323</v>
      </c>
      <c r="D306" s="359"/>
      <c r="E306" s="173">
        <v>200</v>
      </c>
      <c r="F306" s="173">
        <v>1.4</v>
      </c>
      <c r="G306" s="173">
        <v>4.5</v>
      </c>
      <c r="H306" s="173">
        <v>6.8</v>
      </c>
      <c r="I306" s="173">
        <v>76</v>
      </c>
      <c r="J306" s="173">
        <v>0.04</v>
      </c>
      <c r="K306" s="173">
        <v>0.04</v>
      </c>
      <c r="L306" s="173">
        <v>9.6</v>
      </c>
      <c r="M306" s="173">
        <v>0.04</v>
      </c>
      <c r="N306" s="173"/>
      <c r="O306" s="173">
        <v>25.44</v>
      </c>
      <c r="P306" s="173">
        <v>0</v>
      </c>
      <c r="Q306" s="173"/>
      <c r="R306" s="173">
        <v>0</v>
      </c>
      <c r="S306" s="173">
        <v>15.28</v>
      </c>
      <c r="T306" s="173">
        <v>0.56000000000000005</v>
      </c>
    </row>
    <row r="307" spans="2:20" ht="21" customHeight="1" x14ac:dyDescent="0.3">
      <c r="B307" s="173">
        <v>232</v>
      </c>
      <c r="C307" s="359" t="s">
        <v>324</v>
      </c>
      <c r="D307" s="359"/>
      <c r="E307" s="173">
        <v>90</v>
      </c>
      <c r="F307" s="173">
        <v>19.989999999999998</v>
      </c>
      <c r="G307" s="173">
        <v>10.49</v>
      </c>
      <c r="H307" s="173">
        <v>2.69</v>
      </c>
      <c r="I307" s="173">
        <v>185.1</v>
      </c>
      <c r="J307" s="173">
        <v>0.2</v>
      </c>
      <c r="K307" s="173">
        <v>0.17</v>
      </c>
      <c r="L307" s="173">
        <v>0.9</v>
      </c>
      <c r="M307" s="173">
        <v>0.03</v>
      </c>
      <c r="N307" s="173">
        <v>0.1125</v>
      </c>
      <c r="O307" s="173">
        <v>37.5</v>
      </c>
      <c r="P307" s="173">
        <v>11.3</v>
      </c>
      <c r="Q307" s="173">
        <v>0.2</v>
      </c>
      <c r="R307" s="173">
        <v>0.01</v>
      </c>
      <c r="S307" s="173">
        <v>20.72</v>
      </c>
      <c r="T307" s="173">
        <v>0.71</v>
      </c>
    </row>
    <row r="308" spans="2:20" ht="25.5" customHeight="1" x14ac:dyDescent="0.3">
      <c r="B308" s="173">
        <v>312</v>
      </c>
      <c r="C308" s="359" t="s">
        <v>256</v>
      </c>
      <c r="D308" s="359"/>
      <c r="E308" s="173">
        <v>150</v>
      </c>
      <c r="F308" s="173">
        <v>3.29</v>
      </c>
      <c r="G308" s="173">
        <v>7.06</v>
      </c>
      <c r="H308" s="173">
        <v>22.21</v>
      </c>
      <c r="I308" s="173">
        <v>165.54</v>
      </c>
      <c r="J308" s="173">
        <v>0.16</v>
      </c>
      <c r="K308" s="173">
        <v>0.13</v>
      </c>
      <c r="L308" s="173">
        <v>26.11</v>
      </c>
      <c r="M308" s="173">
        <v>0.08</v>
      </c>
      <c r="N308" s="173">
        <v>1.5</v>
      </c>
      <c r="O308" s="173">
        <v>42.54</v>
      </c>
      <c r="P308" s="173">
        <v>97.8</v>
      </c>
      <c r="Q308" s="173">
        <v>0.29899999999999999</v>
      </c>
      <c r="R308" s="173">
        <v>1E-3</v>
      </c>
      <c r="S308" s="173">
        <v>33.06</v>
      </c>
      <c r="T308" s="173">
        <v>1.19</v>
      </c>
    </row>
    <row r="309" spans="2:20" ht="21" customHeight="1" x14ac:dyDescent="0.3">
      <c r="B309" s="173">
        <v>376</v>
      </c>
      <c r="C309" s="359" t="s">
        <v>141</v>
      </c>
      <c r="D309" s="359"/>
      <c r="E309" s="173">
        <v>200</v>
      </c>
      <c r="F309" s="173">
        <v>0.2</v>
      </c>
      <c r="G309" s="173">
        <v>0.05</v>
      </c>
      <c r="H309" s="173">
        <v>15.01</v>
      </c>
      <c r="I309" s="173">
        <v>61</v>
      </c>
      <c r="J309" s="173">
        <v>0</v>
      </c>
      <c r="K309" s="173">
        <v>0.01</v>
      </c>
      <c r="L309" s="173">
        <v>9</v>
      </c>
      <c r="M309" s="173">
        <v>1E-4</v>
      </c>
      <c r="N309" s="173">
        <v>4.4999999999999998E-2</v>
      </c>
      <c r="O309" s="173">
        <v>5.25</v>
      </c>
      <c r="P309" s="173">
        <v>8.24</v>
      </c>
      <c r="Q309" s="173">
        <v>8.0000000000000002E-3</v>
      </c>
      <c r="R309" s="173">
        <v>0</v>
      </c>
      <c r="S309" s="173">
        <v>4.4000000000000004</v>
      </c>
      <c r="T309" s="173">
        <v>0.87</v>
      </c>
    </row>
    <row r="310" spans="2:20" ht="19.5" customHeight="1" x14ac:dyDescent="0.3">
      <c r="B310" s="173" t="s">
        <v>224</v>
      </c>
      <c r="C310" s="359" t="s">
        <v>235</v>
      </c>
      <c r="D310" s="359"/>
      <c r="E310" s="173">
        <v>40</v>
      </c>
      <c r="F310" s="173">
        <v>2.64</v>
      </c>
      <c r="G310" s="173">
        <v>0.48</v>
      </c>
      <c r="H310" s="173">
        <v>13.68</v>
      </c>
      <c r="I310" s="173">
        <v>69.599999999999994</v>
      </c>
      <c r="J310" s="173">
        <v>0.08</v>
      </c>
      <c r="K310" s="173">
        <v>0.04</v>
      </c>
      <c r="L310" s="173">
        <v>0</v>
      </c>
      <c r="M310" s="173">
        <v>0</v>
      </c>
      <c r="N310" s="173">
        <v>2.4</v>
      </c>
      <c r="O310" s="173">
        <v>14</v>
      </c>
      <c r="P310" s="173">
        <v>63.2</v>
      </c>
      <c r="Q310" s="173">
        <v>1.2</v>
      </c>
      <c r="R310" s="173">
        <v>1E-3</v>
      </c>
      <c r="S310" s="173">
        <v>9.4</v>
      </c>
      <c r="T310" s="173">
        <v>0.78</v>
      </c>
    </row>
    <row r="311" spans="2:20" x14ac:dyDescent="0.3">
      <c r="B311" s="173" t="s">
        <v>224</v>
      </c>
      <c r="C311" s="359" t="s">
        <v>117</v>
      </c>
      <c r="D311" s="359"/>
      <c r="E311" s="173">
        <v>30</v>
      </c>
      <c r="F311" s="173">
        <v>1.52</v>
      </c>
      <c r="G311" s="173">
        <v>0.16</v>
      </c>
      <c r="H311" s="173">
        <v>9.84</v>
      </c>
      <c r="I311" s="173">
        <v>46.9</v>
      </c>
      <c r="J311" s="173">
        <v>0.02</v>
      </c>
      <c r="K311" s="173">
        <v>0.01</v>
      </c>
      <c r="L311" s="173">
        <v>0.44</v>
      </c>
      <c r="M311" s="173">
        <v>0</v>
      </c>
      <c r="N311" s="173">
        <v>0.7</v>
      </c>
      <c r="O311" s="173">
        <v>4</v>
      </c>
      <c r="P311" s="173">
        <v>13</v>
      </c>
      <c r="Q311" s="173">
        <v>8.0000000000000002E-3</v>
      </c>
      <c r="R311" s="173">
        <v>1E-3</v>
      </c>
      <c r="S311" s="173">
        <v>0</v>
      </c>
      <c r="T311" s="173">
        <v>0.22</v>
      </c>
    </row>
    <row r="312" spans="2:20" ht="25.5" customHeight="1" x14ac:dyDescent="0.3">
      <c r="B312" s="360" t="s">
        <v>236</v>
      </c>
      <c r="C312" s="360"/>
      <c r="D312" s="360"/>
      <c r="E312" s="189">
        <f>SUM(E305:E311)</f>
        <v>770</v>
      </c>
      <c r="F312" s="189">
        <f>SUM(F305:F311)</f>
        <v>29.9</v>
      </c>
      <c r="G312" s="189">
        <f t="shared" ref="G312:T312" si="72">SUM(G305:G311)</f>
        <v>25.79</v>
      </c>
      <c r="H312" s="189">
        <f t="shared" si="72"/>
        <v>75.36</v>
      </c>
      <c r="I312" s="189">
        <f t="shared" si="72"/>
        <v>654.27</v>
      </c>
      <c r="J312" s="189">
        <f t="shared" si="72"/>
        <v>0.51</v>
      </c>
      <c r="K312" s="189">
        <f t="shared" si="72"/>
        <v>0.42</v>
      </c>
      <c r="L312" s="189">
        <f t="shared" si="72"/>
        <v>51.75</v>
      </c>
      <c r="M312" s="189">
        <f t="shared" si="72"/>
        <v>0.16009999999999999</v>
      </c>
      <c r="N312" s="189">
        <f t="shared" si="72"/>
        <v>4.8574999999999999</v>
      </c>
      <c r="O312" s="189">
        <f t="shared" si="72"/>
        <v>155.34</v>
      </c>
      <c r="P312" s="189">
        <f t="shared" si="72"/>
        <v>219.18</v>
      </c>
      <c r="Q312" s="189">
        <f t="shared" si="72"/>
        <v>2.145</v>
      </c>
      <c r="R312" s="189">
        <f t="shared" si="72"/>
        <v>2.3000000000000003E-2</v>
      </c>
      <c r="S312" s="189">
        <f t="shared" si="72"/>
        <v>95.760000000000019</v>
      </c>
      <c r="T312" s="189">
        <f t="shared" si="72"/>
        <v>5.17</v>
      </c>
    </row>
    <row r="313" spans="2:20" x14ac:dyDescent="0.3">
      <c r="B313" s="360" t="s">
        <v>226</v>
      </c>
      <c r="C313" s="360"/>
      <c r="D313" s="360"/>
      <c r="E313" s="360"/>
      <c r="F313" s="190">
        <f>F312/F320</f>
        <v>0.38831168831168827</v>
      </c>
      <c r="G313" s="190">
        <f t="shared" ref="G313:T313" si="73">G312/G320</f>
        <v>0.32645569620253162</v>
      </c>
      <c r="H313" s="190">
        <f t="shared" si="73"/>
        <v>0.22495522388059702</v>
      </c>
      <c r="I313" s="190">
        <f t="shared" si="73"/>
        <v>0.2784127659574468</v>
      </c>
      <c r="J313" s="190">
        <f t="shared" si="73"/>
        <v>0.42500000000000004</v>
      </c>
      <c r="K313" s="190">
        <f t="shared" si="73"/>
        <v>0.3</v>
      </c>
      <c r="L313" s="190">
        <f t="shared" si="73"/>
        <v>0.86250000000000004</v>
      </c>
      <c r="M313" s="190">
        <f t="shared" si="73"/>
        <v>0.22871428571428573</v>
      </c>
      <c r="N313" s="190">
        <f t="shared" si="73"/>
        <v>0.48575000000000002</v>
      </c>
      <c r="O313" s="190">
        <f t="shared" si="73"/>
        <v>0.14121818181818183</v>
      </c>
      <c r="P313" s="190">
        <f t="shared" si="73"/>
        <v>0.19925454545454546</v>
      </c>
      <c r="Q313" s="190">
        <f t="shared" si="73"/>
        <v>0.2145</v>
      </c>
      <c r="R313" s="190">
        <f t="shared" si="73"/>
        <v>0.23</v>
      </c>
      <c r="S313" s="190">
        <f t="shared" si="73"/>
        <v>0.3830400000000001</v>
      </c>
      <c r="T313" s="190">
        <f t="shared" si="73"/>
        <v>0.43083333333333335</v>
      </c>
    </row>
    <row r="314" spans="2:20" x14ac:dyDescent="0.3">
      <c r="B314" s="360" t="s">
        <v>237</v>
      </c>
      <c r="C314" s="360"/>
      <c r="D314" s="360"/>
      <c r="E314" s="360"/>
      <c r="F314" s="360"/>
      <c r="G314" s="360"/>
      <c r="H314" s="360"/>
      <c r="I314" s="360"/>
      <c r="J314" s="360"/>
      <c r="K314" s="360"/>
      <c r="L314" s="360"/>
      <c r="M314" s="360"/>
      <c r="N314" s="360"/>
      <c r="O314" s="360"/>
      <c r="P314" s="360"/>
      <c r="Q314" s="360"/>
      <c r="R314" s="360"/>
      <c r="S314" s="360"/>
      <c r="T314" s="360"/>
    </row>
    <row r="315" spans="2:20" ht="16.5" customHeight="1" x14ac:dyDescent="0.3">
      <c r="B315" s="177" t="s">
        <v>224</v>
      </c>
      <c r="C315" s="352" t="s">
        <v>282</v>
      </c>
      <c r="D315" s="352"/>
      <c r="E315" s="177">
        <v>65</v>
      </c>
      <c r="F315" s="177">
        <v>4.16</v>
      </c>
      <c r="G315" s="177">
        <v>8.14</v>
      </c>
      <c r="H315" s="177">
        <v>33.799999999999997</v>
      </c>
      <c r="I315" s="177">
        <v>225.34</v>
      </c>
      <c r="J315" s="177">
        <v>0.06</v>
      </c>
      <c r="K315" s="177">
        <v>0.05</v>
      </c>
      <c r="L315" s="177">
        <v>0</v>
      </c>
      <c r="M315" s="177">
        <v>0.06</v>
      </c>
      <c r="N315" s="177"/>
      <c r="O315" s="177">
        <v>11.26</v>
      </c>
      <c r="P315" s="177">
        <v>0</v>
      </c>
      <c r="Q315" s="177"/>
      <c r="R315" s="177">
        <v>0</v>
      </c>
      <c r="S315" s="177">
        <v>0</v>
      </c>
      <c r="T315" s="177">
        <v>0.6</v>
      </c>
    </row>
    <row r="316" spans="2:20" ht="26.25" customHeight="1" x14ac:dyDescent="0.3">
      <c r="B316" s="177">
        <v>648</v>
      </c>
      <c r="C316" s="352" t="s">
        <v>294</v>
      </c>
      <c r="D316" s="352"/>
      <c r="E316" s="177">
        <v>200</v>
      </c>
      <c r="F316" s="177">
        <v>0</v>
      </c>
      <c r="G316" s="177">
        <v>0</v>
      </c>
      <c r="H316" s="177">
        <v>20</v>
      </c>
      <c r="I316" s="177">
        <v>76</v>
      </c>
      <c r="J316" s="177">
        <v>0</v>
      </c>
      <c r="K316" s="177">
        <v>0</v>
      </c>
      <c r="L316" s="177">
        <v>0</v>
      </c>
      <c r="M316" s="177">
        <v>0</v>
      </c>
      <c r="N316" s="177"/>
      <c r="O316" s="177">
        <v>0.48</v>
      </c>
      <c r="P316" s="177">
        <v>0</v>
      </c>
      <c r="Q316" s="177">
        <v>0</v>
      </c>
      <c r="R316" s="177">
        <v>0</v>
      </c>
      <c r="S316" s="177">
        <v>0</v>
      </c>
      <c r="T316" s="177">
        <v>0.06</v>
      </c>
    </row>
    <row r="317" spans="2:20" ht="15" customHeight="1" x14ac:dyDescent="0.3">
      <c r="B317" s="356" t="s">
        <v>240</v>
      </c>
      <c r="C317" s="357"/>
      <c r="D317" s="358"/>
      <c r="E317" s="178">
        <f>SUM(E315:E316)</f>
        <v>265</v>
      </c>
      <c r="F317" s="178">
        <f t="shared" ref="F317:T317" si="74">SUM(F315:F316)</f>
        <v>4.16</v>
      </c>
      <c r="G317" s="178">
        <f t="shared" si="74"/>
        <v>8.14</v>
      </c>
      <c r="H317" s="178">
        <f t="shared" si="74"/>
        <v>53.8</v>
      </c>
      <c r="I317" s="178">
        <f t="shared" si="74"/>
        <v>301.34000000000003</v>
      </c>
      <c r="J317" s="178">
        <f t="shared" si="74"/>
        <v>0.06</v>
      </c>
      <c r="K317" s="178">
        <f t="shared" si="74"/>
        <v>0.05</v>
      </c>
      <c r="L317" s="178">
        <f t="shared" si="74"/>
        <v>0</v>
      </c>
      <c r="M317" s="178">
        <f t="shared" si="74"/>
        <v>0.06</v>
      </c>
      <c r="N317" s="178">
        <f t="shared" si="74"/>
        <v>0</v>
      </c>
      <c r="O317" s="178">
        <f t="shared" si="74"/>
        <v>11.74</v>
      </c>
      <c r="P317" s="178">
        <f t="shared" si="74"/>
        <v>0</v>
      </c>
      <c r="Q317" s="178">
        <f t="shared" si="74"/>
        <v>0</v>
      </c>
      <c r="R317" s="178">
        <f t="shared" si="74"/>
        <v>0</v>
      </c>
      <c r="S317" s="178">
        <f t="shared" si="74"/>
        <v>0</v>
      </c>
      <c r="T317" s="178">
        <f t="shared" si="74"/>
        <v>0.65999999999999992</v>
      </c>
    </row>
    <row r="318" spans="2:20" x14ac:dyDescent="0.3">
      <c r="B318" s="360" t="s">
        <v>226</v>
      </c>
      <c r="C318" s="360"/>
      <c r="D318" s="360"/>
      <c r="E318" s="360"/>
      <c r="F318" s="190">
        <f>F317/F320</f>
        <v>5.4025974025974026E-2</v>
      </c>
      <c r="G318" s="190">
        <f t="shared" ref="G318:T318" si="75">G317/G320</f>
        <v>0.10303797468354431</v>
      </c>
      <c r="H318" s="190">
        <f t="shared" si="75"/>
        <v>0.16059701492537312</v>
      </c>
      <c r="I318" s="190">
        <f t="shared" si="75"/>
        <v>0.12822978723404257</v>
      </c>
      <c r="J318" s="190">
        <f t="shared" si="75"/>
        <v>0.05</v>
      </c>
      <c r="K318" s="190">
        <f t="shared" si="75"/>
        <v>3.5714285714285719E-2</v>
      </c>
      <c r="L318" s="190">
        <f t="shared" si="75"/>
        <v>0</v>
      </c>
      <c r="M318" s="190">
        <f t="shared" si="75"/>
        <v>8.5714285714285715E-2</v>
      </c>
      <c r="N318" s="190">
        <f t="shared" si="75"/>
        <v>0</v>
      </c>
      <c r="O318" s="190">
        <f t="shared" si="75"/>
        <v>1.0672727272727273E-2</v>
      </c>
      <c r="P318" s="190">
        <f t="shared" si="75"/>
        <v>0</v>
      </c>
      <c r="Q318" s="190">
        <f t="shared" si="75"/>
        <v>0</v>
      </c>
      <c r="R318" s="190">
        <f t="shared" si="75"/>
        <v>0</v>
      </c>
      <c r="S318" s="190">
        <f t="shared" si="75"/>
        <v>0</v>
      </c>
      <c r="T318" s="190">
        <f t="shared" si="75"/>
        <v>5.4999999999999993E-2</v>
      </c>
    </row>
    <row r="319" spans="2:20" x14ac:dyDescent="0.3">
      <c r="B319" s="360" t="s">
        <v>241</v>
      </c>
      <c r="C319" s="360"/>
      <c r="D319" s="360"/>
      <c r="E319" s="360"/>
      <c r="F319" s="189">
        <f>F317+F312+F302</f>
        <v>55.05</v>
      </c>
      <c r="G319" s="189">
        <f t="shared" ref="G319:T319" si="76">G317+G312+G302</f>
        <v>53.309999999999995</v>
      </c>
      <c r="H319" s="189">
        <f t="shared" si="76"/>
        <v>221.08</v>
      </c>
      <c r="I319" s="189">
        <f t="shared" si="76"/>
        <v>1565.54</v>
      </c>
      <c r="J319" s="189">
        <f t="shared" si="76"/>
        <v>0.90900000000000003</v>
      </c>
      <c r="K319" s="189">
        <f t="shared" si="76"/>
        <v>0.66999999999999993</v>
      </c>
      <c r="L319" s="189">
        <f t="shared" si="76"/>
        <v>65.94</v>
      </c>
      <c r="M319" s="189">
        <f t="shared" si="76"/>
        <v>0.2621</v>
      </c>
      <c r="N319" s="189">
        <f t="shared" si="76"/>
        <v>7.0474999999999994</v>
      </c>
      <c r="O319" s="189">
        <f t="shared" si="76"/>
        <v>224.31</v>
      </c>
      <c r="P319" s="189">
        <f t="shared" si="76"/>
        <v>453.54</v>
      </c>
      <c r="Q319" s="189">
        <f t="shared" si="76"/>
        <v>4.9870000000000001</v>
      </c>
      <c r="R319" s="189">
        <f t="shared" si="76"/>
        <v>5.9000000000000011E-2</v>
      </c>
      <c r="S319" s="189">
        <f t="shared" si="76"/>
        <v>137.72000000000003</v>
      </c>
      <c r="T319" s="189">
        <f t="shared" si="76"/>
        <v>11.3</v>
      </c>
    </row>
    <row r="320" spans="2:20" x14ac:dyDescent="0.3">
      <c r="B320" s="360" t="s">
        <v>242</v>
      </c>
      <c r="C320" s="360"/>
      <c r="D320" s="360"/>
      <c r="E320" s="360"/>
      <c r="F320" s="173">
        <v>77</v>
      </c>
      <c r="G320" s="173">
        <v>79</v>
      </c>
      <c r="H320" s="173">
        <v>335</v>
      </c>
      <c r="I320" s="173">
        <v>2350</v>
      </c>
      <c r="J320" s="173">
        <v>1.2</v>
      </c>
      <c r="K320" s="173">
        <v>1.4</v>
      </c>
      <c r="L320" s="173">
        <v>60</v>
      </c>
      <c r="M320" s="173">
        <v>0.7</v>
      </c>
      <c r="N320" s="173">
        <v>10</v>
      </c>
      <c r="O320" s="173">
        <v>1100</v>
      </c>
      <c r="P320" s="173">
        <v>1100</v>
      </c>
      <c r="Q320" s="173">
        <v>10</v>
      </c>
      <c r="R320" s="173">
        <v>0.1</v>
      </c>
      <c r="S320" s="173">
        <v>250</v>
      </c>
      <c r="T320" s="173">
        <v>12</v>
      </c>
    </row>
    <row r="321" spans="2:20" x14ac:dyDescent="0.3">
      <c r="B321" s="360" t="s">
        <v>226</v>
      </c>
      <c r="C321" s="360"/>
      <c r="D321" s="360"/>
      <c r="E321" s="360"/>
      <c r="F321" s="190">
        <f>F319/F320</f>
        <v>0.71493506493506487</v>
      </c>
      <c r="G321" s="190">
        <f t="shared" ref="G321:T321" si="77">G319/G320</f>
        <v>0.67481012658227846</v>
      </c>
      <c r="H321" s="190">
        <f t="shared" si="77"/>
        <v>0.65994029850746272</v>
      </c>
      <c r="I321" s="190">
        <f t="shared" si="77"/>
        <v>0.6661872340425532</v>
      </c>
      <c r="J321" s="190">
        <f t="shared" si="77"/>
        <v>0.75750000000000006</v>
      </c>
      <c r="K321" s="190">
        <f t="shared" si="77"/>
        <v>0.47857142857142854</v>
      </c>
      <c r="L321" s="190">
        <f t="shared" si="77"/>
        <v>1.099</v>
      </c>
      <c r="M321" s="190">
        <f t="shared" si="77"/>
        <v>0.37442857142857144</v>
      </c>
      <c r="N321" s="190">
        <f t="shared" si="77"/>
        <v>0.70474999999999999</v>
      </c>
      <c r="O321" s="190">
        <f t="shared" si="77"/>
        <v>0.20391818181818183</v>
      </c>
      <c r="P321" s="190">
        <f t="shared" si="77"/>
        <v>0.4123090909090909</v>
      </c>
      <c r="Q321" s="190">
        <f t="shared" si="77"/>
        <v>0.49870000000000003</v>
      </c>
      <c r="R321" s="190">
        <f t="shared" si="77"/>
        <v>0.59000000000000008</v>
      </c>
      <c r="S321" s="190">
        <f t="shared" si="77"/>
        <v>0.55088000000000015</v>
      </c>
      <c r="T321" s="190">
        <f t="shared" si="77"/>
        <v>0.94166666666666676</v>
      </c>
    </row>
    <row r="322" spans="2:20" x14ac:dyDescent="0.3">
      <c r="B322" s="172"/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363" t="s">
        <v>187</v>
      </c>
      <c r="N322" s="363"/>
      <c r="O322" s="363"/>
      <c r="P322" s="363"/>
      <c r="Q322" s="363"/>
      <c r="R322" s="363"/>
      <c r="S322" s="363"/>
      <c r="T322" s="363"/>
    </row>
    <row r="323" spans="2:20" x14ac:dyDescent="0.3">
      <c r="B323" s="360" t="s">
        <v>325</v>
      </c>
      <c r="C323" s="360"/>
      <c r="D323" s="360"/>
      <c r="E323" s="360"/>
      <c r="F323" s="360"/>
      <c r="G323" s="360"/>
      <c r="H323" s="360"/>
      <c r="I323" s="360"/>
      <c r="J323" s="360"/>
      <c r="K323" s="360"/>
      <c r="L323" s="360"/>
      <c r="M323" s="360"/>
      <c r="N323" s="360"/>
      <c r="O323" s="360"/>
      <c r="P323" s="360"/>
      <c r="Q323" s="360"/>
      <c r="R323" s="360"/>
      <c r="S323" s="360"/>
      <c r="T323" s="360"/>
    </row>
    <row r="324" spans="2:20" x14ac:dyDescent="0.3">
      <c r="B324" s="360" t="s">
        <v>189</v>
      </c>
      <c r="C324" s="360"/>
      <c r="D324" s="173"/>
      <c r="E324" s="173"/>
      <c r="F324" s="173"/>
      <c r="G324" s="363" t="s">
        <v>285</v>
      </c>
      <c r="H324" s="363"/>
      <c r="I324" s="363"/>
      <c r="J324" s="173"/>
      <c r="K324" s="173"/>
      <c r="L324" s="360" t="s">
        <v>191</v>
      </c>
      <c r="M324" s="360"/>
      <c r="N324" s="363" t="s">
        <v>192</v>
      </c>
      <c r="O324" s="363"/>
      <c r="P324" s="363"/>
      <c r="Q324" s="363"/>
      <c r="R324" s="173"/>
      <c r="S324" s="173"/>
      <c r="T324" s="173"/>
    </row>
    <row r="325" spans="2:20" x14ac:dyDescent="0.3">
      <c r="B325" s="173"/>
      <c r="C325" s="173"/>
      <c r="D325" s="173"/>
      <c r="E325" s="360" t="s">
        <v>194</v>
      </c>
      <c r="F325" s="360"/>
      <c r="G325" s="173">
        <v>2</v>
      </c>
      <c r="H325" s="173"/>
      <c r="I325" s="173"/>
      <c r="J325" s="173"/>
      <c r="K325" s="173"/>
      <c r="L325" s="360" t="s">
        <v>195</v>
      </c>
      <c r="M325" s="360"/>
      <c r="N325" s="363" t="s">
        <v>196</v>
      </c>
      <c r="O325" s="363"/>
      <c r="P325" s="363"/>
      <c r="Q325" s="363"/>
      <c r="R325" s="363"/>
      <c r="S325" s="363"/>
      <c r="T325" s="363"/>
    </row>
    <row r="326" spans="2:20" x14ac:dyDescent="0.3">
      <c r="B326" s="174" t="s">
        <v>0</v>
      </c>
      <c r="C326" s="361" t="s">
        <v>198</v>
      </c>
      <c r="D326" s="361"/>
      <c r="E326" s="361" t="s">
        <v>199</v>
      </c>
      <c r="F326" s="361" t="s">
        <v>200</v>
      </c>
      <c r="G326" s="361"/>
      <c r="H326" s="361"/>
      <c r="I326" s="174" t="s">
        <v>201</v>
      </c>
      <c r="J326" s="361" t="s">
        <v>202</v>
      </c>
      <c r="K326" s="361"/>
      <c r="L326" s="361"/>
      <c r="M326" s="361"/>
      <c r="N326" s="361"/>
      <c r="O326" s="361" t="s">
        <v>203</v>
      </c>
      <c r="P326" s="361"/>
      <c r="Q326" s="361"/>
      <c r="R326" s="361"/>
      <c r="S326" s="361"/>
      <c r="T326" s="361"/>
    </row>
    <row r="327" spans="2:20" ht="52.8" x14ac:dyDescent="0.3">
      <c r="B327" s="174" t="s">
        <v>245</v>
      </c>
      <c r="C327" s="361"/>
      <c r="D327" s="361"/>
      <c r="E327" s="361"/>
      <c r="F327" s="174" t="s">
        <v>204</v>
      </c>
      <c r="G327" s="174" t="s">
        <v>205</v>
      </c>
      <c r="H327" s="174" t="s">
        <v>206</v>
      </c>
      <c r="I327" s="174" t="s">
        <v>207</v>
      </c>
      <c r="J327" s="174" t="s">
        <v>208</v>
      </c>
      <c r="K327" s="174" t="s">
        <v>209</v>
      </c>
      <c r="L327" s="174" t="s">
        <v>210</v>
      </c>
      <c r="M327" s="174" t="s">
        <v>211</v>
      </c>
      <c r="N327" s="174" t="s">
        <v>212</v>
      </c>
      <c r="O327" s="174" t="s">
        <v>213</v>
      </c>
      <c r="P327" s="174" t="s">
        <v>214</v>
      </c>
      <c r="Q327" s="174" t="s">
        <v>215</v>
      </c>
      <c r="R327" s="174" t="s">
        <v>216</v>
      </c>
      <c r="S327" s="174" t="s">
        <v>217</v>
      </c>
      <c r="T327" s="174" t="s">
        <v>218</v>
      </c>
    </row>
    <row r="328" spans="2:20" x14ac:dyDescent="0.3">
      <c r="B328" s="175">
        <v>1</v>
      </c>
      <c r="C328" s="362">
        <v>2</v>
      </c>
      <c r="D328" s="362"/>
      <c r="E328" s="175">
        <v>3</v>
      </c>
      <c r="F328" s="175">
        <v>4</v>
      </c>
      <c r="G328" s="175">
        <v>5</v>
      </c>
      <c r="H328" s="175">
        <v>6</v>
      </c>
      <c r="I328" s="175">
        <v>7</v>
      </c>
      <c r="J328" s="175">
        <v>8</v>
      </c>
      <c r="K328" s="175">
        <v>9</v>
      </c>
      <c r="L328" s="175">
        <v>10</v>
      </c>
      <c r="M328" s="175">
        <v>11</v>
      </c>
      <c r="N328" s="175">
        <v>12</v>
      </c>
      <c r="O328" s="175">
        <v>13</v>
      </c>
      <c r="P328" s="175">
        <v>14</v>
      </c>
      <c r="Q328" s="175">
        <v>15</v>
      </c>
      <c r="R328" s="175">
        <v>16</v>
      </c>
      <c r="S328" s="175">
        <v>17</v>
      </c>
      <c r="T328" s="175">
        <v>18</v>
      </c>
    </row>
    <row r="329" spans="2:20" x14ac:dyDescent="0.3">
      <c r="B329" s="360" t="s">
        <v>219</v>
      </c>
      <c r="C329" s="360"/>
      <c r="D329" s="360"/>
      <c r="E329" s="360"/>
      <c r="F329" s="360"/>
      <c r="G329" s="360"/>
      <c r="H329" s="360"/>
      <c r="I329" s="360"/>
      <c r="J329" s="360"/>
      <c r="K329" s="360"/>
      <c r="L329" s="360"/>
      <c r="M329" s="360"/>
      <c r="N329" s="360"/>
      <c r="O329" s="360"/>
      <c r="P329" s="360"/>
      <c r="Q329" s="360"/>
      <c r="R329" s="360"/>
      <c r="S329" s="360"/>
      <c r="T329" s="360"/>
    </row>
    <row r="330" spans="2:20" s="394" customFormat="1" ht="29.25" customHeight="1" x14ac:dyDescent="0.3">
      <c r="B330" s="389" t="s">
        <v>340</v>
      </c>
      <c r="C330" s="390" t="s">
        <v>339</v>
      </c>
      <c r="D330" s="390"/>
      <c r="E330" s="391">
        <v>40</v>
      </c>
      <c r="F330" s="391">
        <v>1.1200000000000001</v>
      </c>
      <c r="G330" s="391">
        <v>0</v>
      </c>
      <c r="H330" s="391">
        <v>0.52</v>
      </c>
      <c r="I330" s="389">
        <v>6.44</v>
      </c>
      <c r="J330" s="391">
        <v>0</v>
      </c>
      <c r="K330" s="391">
        <v>0</v>
      </c>
      <c r="L330" s="391">
        <v>0</v>
      </c>
      <c r="M330" s="391">
        <v>0</v>
      </c>
      <c r="N330" s="391">
        <v>0</v>
      </c>
      <c r="O330" s="391">
        <v>0</v>
      </c>
      <c r="P330" s="391">
        <v>0</v>
      </c>
      <c r="Q330" s="391">
        <v>0</v>
      </c>
      <c r="R330" s="391">
        <v>0</v>
      </c>
      <c r="S330" s="391">
        <v>0</v>
      </c>
      <c r="T330" s="391">
        <v>0</v>
      </c>
    </row>
    <row r="331" spans="2:20" ht="27" customHeight="1" x14ac:dyDescent="0.3">
      <c r="B331" s="184">
        <v>71</v>
      </c>
      <c r="C331" s="352" t="s">
        <v>338</v>
      </c>
      <c r="D331" s="352"/>
      <c r="E331" s="184">
        <v>40</v>
      </c>
      <c r="F331" s="184">
        <v>0.33</v>
      </c>
      <c r="G331" s="184">
        <v>0.04</v>
      </c>
      <c r="H331" s="184">
        <v>1.1299999999999999</v>
      </c>
      <c r="I331" s="184">
        <v>6.23</v>
      </c>
      <c r="J331" s="184">
        <v>8.9999999999999993E-3</v>
      </c>
      <c r="K331" s="184">
        <v>0.01</v>
      </c>
      <c r="L331" s="184">
        <v>3</v>
      </c>
      <c r="M331" s="184">
        <v>3.0000000000000001E-3</v>
      </c>
      <c r="N331" s="184">
        <v>0.03</v>
      </c>
      <c r="O331" s="184">
        <v>6.9</v>
      </c>
      <c r="P331" s="184">
        <v>12.6</v>
      </c>
      <c r="Q331" s="184">
        <v>6.4000000000000001E-2</v>
      </c>
      <c r="R331" s="184">
        <v>1E-3</v>
      </c>
      <c r="S331" s="184">
        <v>4.2</v>
      </c>
      <c r="T331" s="184">
        <v>0.18</v>
      </c>
    </row>
    <row r="332" spans="2:20" ht="30" customHeight="1" x14ac:dyDescent="0.3">
      <c r="B332" s="173">
        <v>15</v>
      </c>
      <c r="C332" s="359" t="s">
        <v>221</v>
      </c>
      <c r="D332" s="359"/>
      <c r="E332" s="173">
        <v>20</v>
      </c>
      <c r="F332" s="173">
        <v>4.6399999999999997</v>
      </c>
      <c r="G332" s="173">
        <v>6.8</v>
      </c>
      <c r="H332" s="173">
        <v>0.02</v>
      </c>
      <c r="I332" s="173">
        <v>79.8</v>
      </c>
      <c r="J332" s="173">
        <v>0.01</v>
      </c>
      <c r="K332" s="173">
        <v>0.06</v>
      </c>
      <c r="L332" s="173">
        <v>0.14000000000000001</v>
      </c>
      <c r="M332" s="173">
        <v>4.5999999999999999E-2</v>
      </c>
      <c r="N332" s="173">
        <v>0.1</v>
      </c>
      <c r="O332" s="173">
        <v>176</v>
      </c>
      <c r="P332" s="173">
        <v>100</v>
      </c>
      <c r="Q332" s="173">
        <v>0.8</v>
      </c>
      <c r="R332" s="173">
        <v>0.04</v>
      </c>
      <c r="S332" s="173">
        <v>7</v>
      </c>
      <c r="T332" s="173">
        <v>0.26</v>
      </c>
    </row>
    <row r="333" spans="2:20" ht="25.5" customHeight="1" x14ac:dyDescent="0.3">
      <c r="B333" s="173">
        <v>210</v>
      </c>
      <c r="C333" s="359" t="s">
        <v>287</v>
      </c>
      <c r="D333" s="359"/>
      <c r="E333" s="173">
        <v>200</v>
      </c>
      <c r="F333" s="173">
        <v>18.579999999999998</v>
      </c>
      <c r="G333" s="173">
        <v>33.1</v>
      </c>
      <c r="H333" s="173">
        <v>3.52</v>
      </c>
      <c r="I333" s="173">
        <v>386.2</v>
      </c>
      <c r="J333" s="173">
        <v>0.14000000000000001</v>
      </c>
      <c r="K333" s="173">
        <v>0.68</v>
      </c>
      <c r="L333" s="173">
        <v>0.34</v>
      </c>
      <c r="M333" s="173">
        <v>0.14000000000000001</v>
      </c>
      <c r="N333" s="173"/>
      <c r="O333" s="173">
        <v>137.44</v>
      </c>
      <c r="P333" s="173">
        <v>301.04000000000002</v>
      </c>
      <c r="Q333" s="173"/>
      <c r="R333" s="173">
        <v>0</v>
      </c>
      <c r="S333" s="173">
        <v>21.52</v>
      </c>
      <c r="T333" s="173">
        <v>3.52</v>
      </c>
    </row>
    <row r="334" spans="2:20" ht="18.75" customHeight="1" x14ac:dyDescent="0.3">
      <c r="B334" s="173">
        <v>341</v>
      </c>
      <c r="C334" s="359" t="s">
        <v>357</v>
      </c>
      <c r="D334" s="359"/>
      <c r="E334" s="173">
        <v>100</v>
      </c>
      <c r="F334" s="173">
        <v>0.9</v>
      </c>
      <c r="G334" s="173">
        <v>0.2</v>
      </c>
      <c r="H334" s="173">
        <v>8.1</v>
      </c>
      <c r="I334" s="173">
        <v>35.799999999999997</v>
      </c>
      <c r="J334" s="173">
        <v>0.04</v>
      </c>
      <c r="K334" s="173">
        <v>0.03</v>
      </c>
      <c r="L334" s="173">
        <v>60</v>
      </c>
      <c r="M334" s="173">
        <v>0.01</v>
      </c>
      <c r="N334" s="173">
        <v>0.2</v>
      </c>
      <c r="O334" s="173">
        <v>34</v>
      </c>
      <c r="P334" s="173">
        <v>23</v>
      </c>
      <c r="Q334" s="173">
        <v>0.2</v>
      </c>
      <c r="R334" s="173">
        <v>0</v>
      </c>
      <c r="S334" s="173">
        <v>15</v>
      </c>
      <c r="T334" s="173">
        <v>0.3</v>
      </c>
    </row>
    <row r="335" spans="2:20" x14ac:dyDescent="0.3">
      <c r="B335" s="173">
        <v>376</v>
      </c>
      <c r="C335" s="359" t="s">
        <v>141</v>
      </c>
      <c r="D335" s="359"/>
      <c r="E335" s="173">
        <v>200</v>
      </c>
      <c r="F335" s="173">
        <v>0.2</v>
      </c>
      <c r="G335" s="173">
        <v>0.05</v>
      </c>
      <c r="H335" s="173">
        <v>15.01</v>
      </c>
      <c r="I335" s="173">
        <v>61</v>
      </c>
      <c r="J335" s="173">
        <v>0</v>
      </c>
      <c r="K335" s="173">
        <v>0.01</v>
      </c>
      <c r="L335" s="173">
        <v>9</v>
      </c>
      <c r="M335" s="173">
        <v>1E-4</v>
      </c>
      <c r="N335" s="173">
        <v>4.4999999999999998E-2</v>
      </c>
      <c r="O335" s="173">
        <v>5.25</v>
      </c>
      <c r="P335" s="173">
        <v>8.24</v>
      </c>
      <c r="Q335" s="173">
        <v>8.0000000000000002E-3</v>
      </c>
      <c r="R335" s="173">
        <v>0</v>
      </c>
      <c r="S335" s="173">
        <v>4.4000000000000004</v>
      </c>
      <c r="T335" s="173">
        <v>0.87</v>
      </c>
    </row>
    <row r="336" spans="2:20" ht="18" customHeight="1" x14ac:dyDescent="0.3">
      <c r="B336" s="173" t="s">
        <v>224</v>
      </c>
      <c r="C336" s="359" t="s">
        <v>302</v>
      </c>
      <c r="D336" s="359"/>
      <c r="E336" s="173">
        <v>40</v>
      </c>
      <c r="F336" s="173">
        <v>2.67</v>
      </c>
      <c r="G336" s="173">
        <v>0.53</v>
      </c>
      <c r="H336" s="173">
        <v>13.73</v>
      </c>
      <c r="I336" s="173">
        <v>70.400000000000006</v>
      </c>
      <c r="J336" s="173">
        <v>0.13</v>
      </c>
      <c r="K336" s="173">
        <v>1.2999999999999999E-2</v>
      </c>
      <c r="L336" s="173">
        <v>0.1</v>
      </c>
      <c r="M336" s="173">
        <v>0</v>
      </c>
      <c r="N336" s="173">
        <v>0.93</v>
      </c>
      <c r="O336" s="173">
        <v>14</v>
      </c>
      <c r="P336" s="173">
        <v>63.2</v>
      </c>
      <c r="Q336" s="173">
        <v>1.2999999999999999E-2</v>
      </c>
      <c r="R336" s="173">
        <v>1.2999999999999999E-2</v>
      </c>
      <c r="S336" s="173">
        <v>18.8</v>
      </c>
      <c r="T336" s="173">
        <v>1.6</v>
      </c>
    </row>
    <row r="337" spans="2:20" x14ac:dyDescent="0.3">
      <c r="B337" s="360" t="s">
        <v>225</v>
      </c>
      <c r="C337" s="360"/>
      <c r="D337" s="360"/>
      <c r="E337" s="189">
        <f>SUM(E331:E336)</f>
        <v>600</v>
      </c>
      <c r="F337" s="189">
        <f>SUM(F331:F336)</f>
        <v>27.319999999999993</v>
      </c>
      <c r="G337" s="189">
        <f t="shared" ref="G337:T337" si="78">SUM(G331:G336)</f>
        <v>40.72</v>
      </c>
      <c r="H337" s="189">
        <f t="shared" si="78"/>
        <v>41.510000000000005</v>
      </c>
      <c r="I337" s="189">
        <f t="shared" si="78"/>
        <v>639.42999999999995</v>
      </c>
      <c r="J337" s="189">
        <f t="shared" si="78"/>
        <v>0.32900000000000001</v>
      </c>
      <c r="K337" s="189">
        <f t="shared" si="78"/>
        <v>0.80300000000000005</v>
      </c>
      <c r="L337" s="189">
        <f t="shared" si="78"/>
        <v>72.579999999999984</v>
      </c>
      <c r="M337" s="189">
        <f t="shared" si="78"/>
        <v>0.1991</v>
      </c>
      <c r="N337" s="189">
        <f t="shared" si="78"/>
        <v>1.3050000000000002</v>
      </c>
      <c r="O337" s="189">
        <f t="shared" si="78"/>
        <v>373.59000000000003</v>
      </c>
      <c r="P337" s="189">
        <f t="shared" si="78"/>
        <v>508.08</v>
      </c>
      <c r="Q337" s="189">
        <f t="shared" si="78"/>
        <v>1.085</v>
      </c>
      <c r="R337" s="189">
        <f t="shared" si="78"/>
        <v>5.3999999999999999E-2</v>
      </c>
      <c r="S337" s="189">
        <f t="shared" si="78"/>
        <v>70.92</v>
      </c>
      <c r="T337" s="189">
        <f t="shared" si="78"/>
        <v>6.73</v>
      </c>
    </row>
    <row r="338" spans="2:20" x14ac:dyDescent="0.3">
      <c r="B338" s="360" t="s">
        <v>226</v>
      </c>
      <c r="C338" s="360"/>
      <c r="D338" s="360"/>
      <c r="E338" s="360"/>
      <c r="F338" s="190">
        <f>F337/F355</f>
        <v>0.35480519480519473</v>
      </c>
      <c r="G338" s="190">
        <f t="shared" ref="G338:T338" si="79">G337/G355</f>
        <v>0.51544303797468349</v>
      </c>
      <c r="H338" s="190">
        <f t="shared" si="79"/>
        <v>0.12391044776119405</v>
      </c>
      <c r="I338" s="190">
        <f t="shared" si="79"/>
        <v>0.27209787234042548</v>
      </c>
      <c r="J338" s="190">
        <f t="shared" si="79"/>
        <v>0.27416666666666667</v>
      </c>
      <c r="K338" s="190">
        <f t="shared" si="79"/>
        <v>0.57357142857142862</v>
      </c>
      <c r="L338" s="191">
        <f t="shared" si="79"/>
        <v>1.2096666666666664</v>
      </c>
      <c r="M338" s="190">
        <f t="shared" si="79"/>
        <v>0.28442857142857142</v>
      </c>
      <c r="N338" s="190">
        <f t="shared" si="79"/>
        <v>0.1305</v>
      </c>
      <c r="O338" s="190">
        <f t="shared" si="79"/>
        <v>0.33962727272727278</v>
      </c>
      <c r="P338" s="190">
        <f t="shared" si="79"/>
        <v>0.46189090909090907</v>
      </c>
      <c r="Q338" s="190">
        <f t="shared" si="79"/>
        <v>0.1085</v>
      </c>
      <c r="R338" s="190">
        <f t="shared" si="79"/>
        <v>0.53999999999999992</v>
      </c>
      <c r="S338" s="190">
        <f t="shared" si="79"/>
        <v>0.28367999999999999</v>
      </c>
      <c r="T338" s="190">
        <f t="shared" si="79"/>
        <v>0.56083333333333341</v>
      </c>
    </row>
    <row r="339" spans="2:20" x14ac:dyDescent="0.3">
      <c r="B339" s="360" t="s">
        <v>227</v>
      </c>
      <c r="C339" s="360"/>
      <c r="D339" s="360"/>
      <c r="E339" s="360"/>
      <c r="F339" s="360"/>
      <c r="G339" s="360"/>
      <c r="H339" s="360"/>
      <c r="I339" s="360"/>
      <c r="J339" s="360"/>
      <c r="K339" s="360"/>
      <c r="L339" s="360"/>
      <c r="M339" s="360"/>
      <c r="N339" s="360"/>
      <c r="O339" s="360"/>
      <c r="P339" s="360"/>
      <c r="Q339" s="360"/>
      <c r="R339" s="360"/>
      <c r="S339" s="360"/>
      <c r="T339" s="360"/>
    </row>
    <row r="340" spans="2:20" ht="19.5" customHeight="1" x14ac:dyDescent="0.3">
      <c r="B340" s="173">
        <v>115</v>
      </c>
      <c r="C340" s="359" t="s">
        <v>279</v>
      </c>
      <c r="D340" s="359"/>
      <c r="E340" s="173">
        <v>60</v>
      </c>
      <c r="F340" s="173">
        <v>1.1399999999999999</v>
      </c>
      <c r="G340" s="173">
        <v>5.34</v>
      </c>
      <c r="H340" s="173">
        <v>4.62</v>
      </c>
      <c r="I340" s="173">
        <v>71.400000000000006</v>
      </c>
      <c r="J340" s="173">
        <v>0.01</v>
      </c>
      <c r="K340" s="173">
        <v>0</v>
      </c>
      <c r="L340" s="173">
        <v>4.2</v>
      </c>
      <c r="M340" s="173">
        <v>0.01</v>
      </c>
      <c r="N340" s="173"/>
      <c r="O340" s="173">
        <v>24.6</v>
      </c>
      <c r="P340" s="173">
        <v>22.2</v>
      </c>
      <c r="Q340" s="173"/>
      <c r="R340" s="173">
        <v>0</v>
      </c>
      <c r="S340" s="173">
        <v>9</v>
      </c>
      <c r="T340" s="173">
        <v>0.42</v>
      </c>
    </row>
    <row r="341" spans="2:20" ht="17.25" customHeight="1" x14ac:dyDescent="0.3">
      <c r="B341" s="173">
        <v>103</v>
      </c>
      <c r="C341" s="359" t="s">
        <v>326</v>
      </c>
      <c r="D341" s="359"/>
      <c r="E341" s="173">
        <v>200</v>
      </c>
      <c r="F341" s="173">
        <v>2.16</v>
      </c>
      <c r="G341" s="173">
        <v>2.8</v>
      </c>
      <c r="H341" s="173">
        <v>13.96</v>
      </c>
      <c r="I341" s="173">
        <v>94.6</v>
      </c>
      <c r="J341" s="173">
        <v>0.08</v>
      </c>
      <c r="K341" s="173">
        <v>0.04</v>
      </c>
      <c r="L341" s="173">
        <v>6.6</v>
      </c>
      <c r="M341" s="173">
        <v>0.08</v>
      </c>
      <c r="N341" s="173">
        <v>0</v>
      </c>
      <c r="O341" s="173">
        <v>23.36</v>
      </c>
      <c r="P341" s="173">
        <v>54.06</v>
      </c>
      <c r="Q341" s="173">
        <v>0</v>
      </c>
      <c r="R341" s="173">
        <v>0</v>
      </c>
      <c r="S341" s="173">
        <v>21.82</v>
      </c>
      <c r="T341" s="173">
        <v>0.9</v>
      </c>
    </row>
    <row r="342" spans="2:20" ht="28.5" customHeight="1" x14ac:dyDescent="0.3">
      <c r="B342" s="173">
        <v>295</v>
      </c>
      <c r="C342" s="359" t="s">
        <v>291</v>
      </c>
      <c r="D342" s="359"/>
      <c r="E342" s="173">
        <v>90</v>
      </c>
      <c r="F342" s="173">
        <v>13.7</v>
      </c>
      <c r="G342" s="173">
        <v>5.2</v>
      </c>
      <c r="H342" s="173">
        <v>9.1</v>
      </c>
      <c r="I342" s="173">
        <v>138.41999999999999</v>
      </c>
      <c r="J342" s="173">
        <v>8.1000000000000003E-2</v>
      </c>
      <c r="K342" s="173">
        <v>7.0000000000000007E-2</v>
      </c>
      <c r="L342" s="173">
        <v>0.22</v>
      </c>
      <c r="M342" s="173">
        <v>8.9999999999999998E-4</v>
      </c>
      <c r="N342" s="173">
        <v>6.6600000000000006E-2</v>
      </c>
      <c r="O342" s="173">
        <v>12.6</v>
      </c>
      <c r="P342" s="173">
        <v>84.6</v>
      </c>
      <c r="Q342" s="173">
        <v>1.05</v>
      </c>
      <c r="R342" s="173">
        <v>3.5999999999999997E-2</v>
      </c>
      <c r="S342" s="173">
        <v>14.6</v>
      </c>
      <c r="T342" s="173">
        <v>1.7</v>
      </c>
    </row>
    <row r="343" spans="2:20" ht="26.25" customHeight="1" x14ac:dyDescent="0.3">
      <c r="B343" s="173">
        <v>173</v>
      </c>
      <c r="C343" s="359" t="s">
        <v>327</v>
      </c>
      <c r="D343" s="359"/>
      <c r="E343" s="173">
        <v>150</v>
      </c>
      <c r="F343" s="173">
        <v>6.57</v>
      </c>
      <c r="G343" s="173">
        <v>4.1900000000000004</v>
      </c>
      <c r="H343" s="173">
        <v>32.32</v>
      </c>
      <c r="I343" s="173">
        <v>193.27</v>
      </c>
      <c r="J343" s="173">
        <v>0.06</v>
      </c>
      <c r="K343" s="173">
        <v>0.03</v>
      </c>
      <c r="L343" s="173">
        <v>0</v>
      </c>
      <c r="M343" s="173">
        <v>0.03</v>
      </c>
      <c r="N343" s="173">
        <v>2.5499999999999998</v>
      </c>
      <c r="O343" s="173">
        <v>18.12</v>
      </c>
      <c r="P343" s="173">
        <v>157.03</v>
      </c>
      <c r="Q343" s="173">
        <v>0.89</v>
      </c>
      <c r="R343" s="173">
        <v>1.4E-3</v>
      </c>
      <c r="S343" s="173">
        <v>104.45</v>
      </c>
      <c r="T343" s="173">
        <v>3.55</v>
      </c>
    </row>
    <row r="344" spans="2:20" x14ac:dyDescent="0.3">
      <c r="B344" s="173">
        <v>389</v>
      </c>
      <c r="C344" s="359" t="s">
        <v>283</v>
      </c>
      <c r="D344" s="359"/>
      <c r="E344" s="173">
        <v>200</v>
      </c>
      <c r="F344" s="173">
        <v>1</v>
      </c>
      <c r="G344" s="173">
        <v>0.2</v>
      </c>
      <c r="H344" s="173">
        <v>20.2</v>
      </c>
      <c r="I344" s="173">
        <v>87</v>
      </c>
      <c r="J344" s="173">
        <v>0</v>
      </c>
      <c r="K344" s="173">
        <v>0.08</v>
      </c>
      <c r="L344" s="173">
        <v>4</v>
      </c>
      <c r="M344" s="173">
        <v>0</v>
      </c>
      <c r="N344" s="173">
        <v>0</v>
      </c>
      <c r="O344" s="173">
        <v>31.1</v>
      </c>
      <c r="P344" s="173">
        <v>18</v>
      </c>
      <c r="Q344" s="173">
        <v>0</v>
      </c>
      <c r="R344" s="173">
        <v>0</v>
      </c>
      <c r="S344" s="173">
        <v>8</v>
      </c>
      <c r="T344" s="173">
        <v>0.72</v>
      </c>
    </row>
    <row r="345" spans="2:20" ht="19.5" customHeight="1" x14ac:dyDescent="0.3">
      <c r="B345" s="173" t="s">
        <v>224</v>
      </c>
      <c r="C345" s="359" t="s">
        <v>235</v>
      </c>
      <c r="D345" s="359"/>
      <c r="E345" s="173">
        <v>40</v>
      </c>
      <c r="F345" s="173">
        <v>2.64</v>
      </c>
      <c r="G345" s="173">
        <v>0.48</v>
      </c>
      <c r="H345" s="173">
        <v>13.68</v>
      </c>
      <c r="I345" s="173">
        <v>69.599999999999994</v>
      </c>
      <c r="J345" s="173">
        <v>0.08</v>
      </c>
      <c r="K345" s="173">
        <v>0.04</v>
      </c>
      <c r="L345" s="173">
        <v>0</v>
      </c>
      <c r="M345" s="173">
        <v>0</v>
      </c>
      <c r="N345" s="173">
        <v>2.4</v>
      </c>
      <c r="O345" s="173">
        <v>14</v>
      </c>
      <c r="P345" s="173">
        <v>63.2</v>
      </c>
      <c r="Q345" s="173">
        <v>1.2</v>
      </c>
      <c r="R345" s="173">
        <v>1E-3</v>
      </c>
      <c r="S345" s="173">
        <v>9.4</v>
      </c>
      <c r="T345" s="173">
        <v>0.78</v>
      </c>
    </row>
    <row r="346" spans="2:20" x14ac:dyDescent="0.3">
      <c r="B346" s="173" t="s">
        <v>224</v>
      </c>
      <c r="C346" s="359" t="s">
        <v>117</v>
      </c>
      <c r="D346" s="359"/>
      <c r="E346" s="173">
        <v>30</v>
      </c>
      <c r="F346" s="173">
        <v>1.52</v>
      </c>
      <c r="G346" s="173">
        <v>0.16</v>
      </c>
      <c r="H346" s="173">
        <v>9.84</v>
      </c>
      <c r="I346" s="173">
        <v>46.9</v>
      </c>
      <c r="J346" s="173">
        <v>0.02</v>
      </c>
      <c r="K346" s="173">
        <v>0.01</v>
      </c>
      <c r="L346" s="173">
        <v>0.44</v>
      </c>
      <c r="M346" s="173">
        <v>0</v>
      </c>
      <c r="N346" s="173">
        <v>0.7</v>
      </c>
      <c r="O346" s="173">
        <v>4</v>
      </c>
      <c r="P346" s="173">
        <v>13</v>
      </c>
      <c r="Q346" s="173">
        <v>8.0000000000000002E-3</v>
      </c>
      <c r="R346" s="173">
        <v>1E-3</v>
      </c>
      <c r="S346" s="173">
        <v>0</v>
      </c>
      <c r="T346" s="173">
        <v>0.22</v>
      </c>
    </row>
    <row r="347" spans="2:20" ht="26.25" customHeight="1" x14ac:dyDescent="0.3">
      <c r="B347" s="360" t="s">
        <v>236</v>
      </c>
      <c r="C347" s="360"/>
      <c r="D347" s="360"/>
      <c r="E347" s="189">
        <f>SUM(E340:E346)</f>
        <v>770</v>
      </c>
      <c r="F347" s="189">
        <f t="shared" ref="F347:T347" si="80">SUM(F340:F346)</f>
        <v>28.73</v>
      </c>
      <c r="G347" s="189">
        <f t="shared" si="80"/>
        <v>18.37</v>
      </c>
      <c r="H347" s="189">
        <f t="shared" si="80"/>
        <v>103.72</v>
      </c>
      <c r="I347" s="189">
        <f t="shared" si="80"/>
        <v>701.18999999999994</v>
      </c>
      <c r="J347" s="189">
        <f t="shared" si="80"/>
        <v>0.33100000000000002</v>
      </c>
      <c r="K347" s="189">
        <f t="shared" si="80"/>
        <v>0.27</v>
      </c>
      <c r="L347" s="189">
        <f t="shared" si="80"/>
        <v>15.46</v>
      </c>
      <c r="M347" s="189">
        <f t="shared" si="80"/>
        <v>0.12089999999999999</v>
      </c>
      <c r="N347" s="189">
        <f t="shared" si="80"/>
        <v>5.7166000000000006</v>
      </c>
      <c r="O347" s="189">
        <f t="shared" si="80"/>
        <v>127.78</v>
      </c>
      <c r="P347" s="189">
        <f t="shared" si="80"/>
        <v>412.09</v>
      </c>
      <c r="Q347" s="189">
        <f t="shared" si="80"/>
        <v>3.1479999999999997</v>
      </c>
      <c r="R347" s="189">
        <f t="shared" si="80"/>
        <v>3.9399999999999998E-2</v>
      </c>
      <c r="S347" s="189">
        <f t="shared" si="80"/>
        <v>167.27</v>
      </c>
      <c r="T347" s="189">
        <f t="shared" si="80"/>
        <v>8.2900000000000009</v>
      </c>
    </row>
    <row r="348" spans="2:20" x14ac:dyDescent="0.3">
      <c r="B348" s="360" t="s">
        <v>226</v>
      </c>
      <c r="C348" s="360"/>
      <c r="D348" s="360"/>
      <c r="E348" s="360"/>
      <c r="F348" s="190">
        <f>F347/F355</f>
        <v>0.37311688311688312</v>
      </c>
      <c r="G348" s="190">
        <f t="shared" ref="G348:T348" si="81">G347/G355</f>
        <v>0.23253164556962028</v>
      </c>
      <c r="H348" s="190">
        <f t="shared" si="81"/>
        <v>0.30961194029850747</v>
      </c>
      <c r="I348" s="190">
        <f t="shared" si="81"/>
        <v>0.29837872340425531</v>
      </c>
      <c r="J348" s="190">
        <f t="shared" si="81"/>
        <v>0.27583333333333337</v>
      </c>
      <c r="K348" s="190">
        <f t="shared" si="81"/>
        <v>0.19285714285714289</v>
      </c>
      <c r="L348" s="190">
        <f t="shared" si="81"/>
        <v>0.25766666666666665</v>
      </c>
      <c r="M348" s="190">
        <f t="shared" si="81"/>
        <v>0.17271428571428571</v>
      </c>
      <c r="N348" s="190">
        <f t="shared" si="81"/>
        <v>0.57166000000000006</v>
      </c>
      <c r="O348" s="190">
        <f t="shared" si="81"/>
        <v>0.11616363636363636</v>
      </c>
      <c r="P348" s="190">
        <f t="shared" si="81"/>
        <v>0.3746272727272727</v>
      </c>
      <c r="Q348" s="190">
        <f t="shared" si="81"/>
        <v>0.31479999999999997</v>
      </c>
      <c r="R348" s="190">
        <f t="shared" si="81"/>
        <v>0.39399999999999996</v>
      </c>
      <c r="S348" s="190">
        <f t="shared" si="81"/>
        <v>0.66908000000000001</v>
      </c>
      <c r="T348" s="190">
        <f t="shared" si="81"/>
        <v>0.69083333333333341</v>
      </c>
    </row>
    <row r="349" spans="2:20" x14ac:dyDescent="0.3">
      <c r="B349" s="355" t="s">
        <v>237</v>
      </c>
      <c r="C349" s="355"/>
      <c r="D349" s="355"/>
      <c r="E349" s="355"/>
      <c r="F349" s="355"/>
      <c r="G349" s="355"/>
      <c r="H349" s="355"/>
      <c r="I349" s="355"/>
      <c r="J349" s="355"/>
      <c r="K349" s="355"/>
      <c r="L349" s="355"/>
      <c r="M349" s="355"/>
      <c r="N349" s="355"/>
      <c r="O349" s="355"/>
      <c r="P349" s="355"/>
      <c r="Q349" s="355"/>
      <c r="R349" s="355"/>
      <c r="S349" s="355"/>
      <c r="T349" s="355"/>
    </row>
    <row r="350" spans="2:20" ht="15" customHeight="1" x14ac:dyDescent="0.3">
      <c r="B350" s="177" t="s">
        <v>224</v>
      </c>
      <c r="C350" s="352" t="s">
        <v>257</v>
      </c>
      <c r="D350" s="352"/>
      <c r="E350" s="177">
        <v>80</v>
      </c>
      <c r="F350" s="177">
        <v>5.95</v>
      </c>
      <c r="G350" s="177">
        <v>6.05</v>
      </c>
      <c r="H350" s="177">
        <v>38.22</v>
      </c>
      <c r="I350" s="177">
        <v>231.11</v>
      </c>
      <c r="J350" s="177">
        <v>0.06</v>
      </c>
      <c r="K350" s="177">
        <v>0.06</v>
      </c>
      <c r="L350" s="177">
        <v>0.02</v>
      </c>
      <c r="M350" s="177">
        <v>0.06</v>
      </c>
      <c r="N350" s="177"/>
      <c r="O350" s="177">
        <v>19.489999999999998</v>
      </c>
      <c r="P350" s="177">
        <v>55.89</v>
      </c>
      <c r="Q350" s="177"/>
      <c r="R350" s="177">
        <v>0</v>
      </c>
      <c r="S350" s="177">
        <v>8.27</v>
      </c>
      <c r="T350" s="177">
        <v>0.7</v>
      </c>
    </row>
    <row r="351" spans="2:20" ht="15" customHeight="1" x14ac:dyDescent="0.3">
      <c r="B351" s="177">
        <v>377</v>
      </c>
      <c r="C351" s="352" t="s">
        <v>149</v>
      </c>
      <c r="D351" s="352"/>
      <c r="E351" s="177" t="s">
        <v>151</v>
      </c>
      <c r="F351" s="177">
        <v>0.26</v>
      </c>
      <c r="G351" s="177">
        <v>0.06</v>
      </c>
      <c r="H351" s="177">
        <v>15.22</v>
      </c>
      <c r="I351" s="177">
        <v>62.5</v>
      </c>
      <c r="J351" s="177"/>
      <c r="K351" s="177">
        <v>0.01</v>
      </c>
      <c r="L351" s="177">
        <v>2.9</v>
      </c>
      <c r="M351" s="177">
        <v>0</v>
      </c>
      <c r="N351" s="177">
        <v>0.06</v>
      </c>
      <c r="O351" s="177">
        <v>8.0500000000000007</v>
      </c>
      <c r="P351" s="177">
        <v>9.7799999999999994</v>
      </c>
      <c r="Q351" s="177">
        <v>1.7000000000000001E-2</v>
      </c>
      <c r="R351" s="177">
        <v>0</v>
      </c>
      <c r="S351" s="177">
        <v>5.24</v>
      </c>
      <c r="T351" s="177">
        <v>0.87</v>
      </c>
    </row>
    <row r="352" spans="2:20" x14ac:dyDescent="0.3">
      <c r="B352" s="356" t="s">
        <v>240</v>
      </c>
      <c r="C352" s="357"/>
      <c r="D352" s="358"/>
      <c r="E352" s="178">
        <f>E350+204</f>
        <v>284</v>
      </c>
      <c r="F352" s="178">
        <f>SUM(F350:F351)</f>
        <v>6.21</v>
      </c>
      <c r="G352" s="178">
        <f t="shared" ref="G352:T352" si="82">SUM(G350:G351)</f>
        <v>6.1099999999999994</v>
      </c>
      <c r="H352" s="178">
        <f t="shared" si="82"/>
        <v>53.44</v>
      </c>
      <c r="I352" s="178">
        <f t="shared" si="82"/>
        <v>293.61</v>
      </c>
      <c r="J352" s="178">
        <f t="shared" si="82"/>
        <v>0.06</v>
      </c>
      <c r="K352" s="178">
        <f t="shared" si="82"/>
        <v>6.9999999999999993E-2</v>
      </c>
      <c r="L352" s="178">
        <f t="shared" si="82"/>
        <v>2.92</v>
      </c>
      <c r="M352" s="178">
        <f t="shared" si="82"/>
        <v>0.06</v>
      </c>
      <c r="N352" s="178">
        <f t="shared" si="82"/>
        <v>0.06</v>
      </c>
      <c r="O352" s="178">
        <f t="shared" si="82"/>
        <v>27.54</v>
      </c>
      <c r="P352" s="178">
        <f t="shared" si="82"/>
        <v>65.67</v>
      </c>
      <c r="Q352" s="178">
        <f t="shared" si="82"/>
        <v>1.7000000000000001E-2</v>
      </c>
      <c r="R352" s="178">
        <f t="shared" si="82"/>
        <v>0</v>
      </c>
      <c r="S352" s="178">
        <f t="shared" si="82"/>
        <v>13.51</v>
      </c>
      <c r="T352" s="178">
        <f t="shared" si="82"/>
        <v>1.5699999999999998</v>
      </c>
    </row>
    <row r="353" spans="2:20" ht="15" customHeight="1" x14ac:dyDescent="0.3">
      <c r="B353" s="350" t="s">
        <v>226</v>
      </c>
      <c r="C353" s="350"/>
      <c r="D353" s="350"/>
      <c r="E353" s="350"/>
      <c r="F353" s="179">
        <f>F352/F355</f>
        <v>8.0649350649350651E-2</v>
      </c>
      <c r="G353" s="179">
        <f t="shared" ref="G353:T353" si="83">G352/G355</f>
        <v>7.7341772151898733E-2</v>
      </c>
      <c r="H353" s="179">
        <f t="shared" si="83"/>
        <v>0.15952238805970148</v>
      </c>
      <c r="I353" s="179">
        <f t="shared" si="83"/>
        <v>0.12494042553191489</v>
      </c>
      <c r="J353" s="179">
        <f t="shared" si="83"/>
        <v>0.05</v>
      </c>
      <c r="K353" s="179">
        <f t="shared" si="83"/>
        <v>4.9999999999999996E-2</v>
      </c>
      <c r="L353" s="179">
        <f t="shared" si="83"/>
        <v>4.8666666666666664E-2</v>
      </c>
      <c r="M353" s="179">
        <f t="shared" si="83"/>
        <v>8.5714285714285715E-2</v>
      </c>
      <c r="N353" s="179">
        <f t="shared" si="83"/>
        <v>6.0000000000000001E-3</v>
      </c>
      <c r="O353" s="179">
        <f t="shared" si="83"/>
        <v>2.5036363636363634E-2</v>
      </c>
      <c r="P353" s="179">
        <f t="shared" si="83"/>
        <v>5.9700000000000003E-2</v>
      </c>
      <c r="Q353" s="179">
        <f t="shared" si="83"/>
        <v>1.7000000000000001E-3</v>
      </c>
      <c r="R353" s="179">
        <f t="shared" si="83"/>
        <v>0</v>
      </c>
      <c r="S353" s="179">
        <f t="shared" si="83"/>
        <v>5.4039999999999998E-2</v>
      </c>
      <c r="T353" s="179">
        <f t="shared" si="83"/>
        <v>0.13083333333333333</v>
      </c>
    </row>
    <row r="354" spans="2:20" ht="15" customHeight="1" x14ac:dyDescent="0.3">
      <c r="B354" s="350" t="s">
        <v>241</v>
      </c>
      <c r="C354" s="350"/>
      <c r="D354" s="350"/>
      <c r="E354" s="350"/>
      <c r="F354" s="178">
        <f>F352+F347+F337</f>
        <v>62.259999999999991</v>
      </c>
      <c r="G354" s="178">
        <f t="shared" ref="G354:T354" si="84">G352+G347+G337</f>
        <v>65.2</v>
      </c>
      <c r="H354" s="178">
        <f t="shared" si="84"/>
        <v>198.67000000000002</v>
      </c>
      <c r="I354" s="178">
        <f t="shared" si="84"/>
        <v>1634.23</v>
      </c>
      <c r="J354" s="178">
        <f t="shared" si="84"/>
        <v>0.72</v>
      </c>
      <c r="K354" s="178">
        <f t="shared" si="84"/>
        <v>1.143</v>
      </c>
      <c r="L354" s="178">
        <f t="shared" si="84"/>
        <v>90.95999999999998</v>
      </c>
      <c r="M354" s="178">
        <f t="shared" si="84"/>
        <v>0.38</v>
      </c>
      <c r="N354" s="178">
        <f t="shared" si="84"/>
        <v>7.0815999999999999</v>
      </c>
      <c r="O354" s="178">
        <f t="shared" si="84"/>
        <v>528.91000000000008</v>
      </c>
      <c r="P354" s="178">
        <f t="shared" si="84"/>
        <v>985.83999999999992</v>
      </c>
      <c r="Q354" s="178">
        <f t="shared" si="84"/>
        <v>4.25</v>
      </c>
      <c r="R354" s="178">
        <f t="shared" si="84"/>
        <v>9.3399999999999997E-2</v>
      </c>
      <c r="S354" s="178">
        <f t="shared" si="84"/>
        <v>251.7</v>
      </c>
      <c r="T354" s="178">
        <f t="shared" si="84"/>
        <v>16.590000000000003</v>
      </c>
    </row>
    <row r="355" spans="2:20" ht="15" customHeight="1" x14ac:dyDescent="0.3">
      <c r="B355" s="350" t="s">
        <v>242</v>
      </c>
      <c r="C355" s="350"/>
      <c r="D355" s="350"/>
      <c r="E355" s="350"/>
      <c r="F355" s="173">
        <v>77</v>
      </c>
      <c r="G355" s="173">
        <v>79</v>
      </c>
      <c r="H355" s="173">
        <v>335</v>
      </c>
      <c r="I355" s="173">
        <v>2350</v>
      </c>
      <c r="J355" s="173">
        <v>1.2</v>
      </c>
      <c r="K355" s="173">
        <v>1.4</v>
      </c>
      <c r="L355" s="173">
        <v>60</v>
      </c>
      <c r="M355" s="173">
        <v>0.7</v>
      </c>
      <c r="N355" s="173">
        <v>10</v>
      </c>
      <c r="O355" s="173">
        <v>1100</v>
      </c>
      <c r="P355" s="173">
        <v>1100</v>
      </c>
      <c r="Q355" s="173">
        <v>10</v>
      </c>
      <c r="R355" s="173">
        <v>0.1</v>
      </c>
      <c r="S355" s="173">
        <v>250</v>
      </c>
      <c r="T355" s="173">
        <v>12</v>
      </c>
    </row>
    <row r="356" spans="2:20" ht="15" customHeight="1" thickBot="1" x14ac:dyDescent="0.35">
      <c r="B356" s="353" t="s">
        <v>226</v>
      </c>
      <c r="C356" s="353"/>
      <c r="D356" s="353"/>
      <c r="E356" s="353"/>
      <c r="F356" s="261">
        <f>F354/F355</f>
        <v>0.8085714285714285</v>
      </c>
      <c r="G356" s="261">
        <f t="shared" ref="G356:T356" si="85">G354/G355</f>
        <v>0.8253164556962026</v>
      </c>
      <c r="H356" s="261">
        <f t="shared" si="85"/>
        <v>0.59304477611940298</v>
      </c>
      <c r="I356" s="261">
        <f t="shared" si="85"/>
        <v>0.69541702127659577</v>
      </c>
      <c r="J356" s="261">
        <f t="shared" si="85"/>
        <v>0.6</v>
      </c>
      <c r="K356" s="261">
        <f t="shared" si="85"/>
        <v>0.8164285714285715</v>
      </c>
      <c r="L356" s="261">
        <f t="shared" si="85"/>
        <v>1.5159999999999996</v>
      </c>
      <c r="M356" s="261">
        <f t="shared" si="85"/>
        <v>0.54285714285714293</v>
      </c>
      <c r="N356" s="261">
        <f t="shared" si="85"/>
        <v>0.70816000000000001</v>
      </c>
      <c r="O356" s="261">
        <f t="shared" si="85"/>
        <v>0.48082727272727283</v>
      </c>
      <c r="P356" s="261">
        <f t="shared" si="85"/>
        <v>0.89621818181818169</v>
      </c>
      <c r="Q356" s="261">
        <f t="shared" si="85"/>
        <v>0.42499999999999999</v>
      </c>
      <c r="R356" s="261">
        <f t="shared" si="85"/>
        <v>0.93399999999999994</v>
      </c>
      <c r="S356" s="261">
        <f t="shared" si="85"/>
        <v>1.0067999999999999</v>
      </c>
      <c r="T356" s="261">
        <f t="shared" si="85"/>
        <v>1.3825000000000003</v>
      </c>
    </row>
    <row r="357" spans="2:20" ht="15" thickTop="1" x14ac:dyDescent="0.3">
      <c r="B357" s="354" t="s">
        <v>295</v>
      </c>
      <c r="C357" s="354"/>
      <c r="D357" s="354"/>
      <c r="E357" s="354"/>
      <c r="F357" s="262">
        <f t="shared" ref="F357:T357" si="86">(F198+F233+F266+F302+F337)/5</f>
        <v>20.367999999999999</v>
      </c>
      <c r="G357" s="262">
        <f t="shared" si="86"/>
        <v>23.47</v>
      </c>
      <c r="H357" s="262">
        <f t="shared" si="86"/>
        <v>77.114000000000004</v>
      </c>
      <c r="I357" s="262">
        <f t="shared" si="86"/>
        <v>588.99399999999991</v>
      </c>
      <c r="J357" s="262">
        <f t="shared" si="86"/>
        <v>0.28139999999999998</v>
      </c>
      <c r="K357" s="262">
        <f t="shared" si="86"/>
        <v>0.38180000000000003</v>
      </c>
      <c r="L357" s="262">
        <f t="shared" si="86"/>
        <v>35.531999999999996</v>
      </c>
      <c r="M357" s="262">
        <f t="shared" si="86"/>
        <v>0.13486000000000001</v>
      </c>
      <c r="N357" s="262">
        <f t="shared" si="86"/>
        <v>1.927</v>
      </c>
      <c r="O357" s="262">
        <f t="shared" si="86"/>
        <v>248.46400000000003</v>
      </c>
      <c r="P357" s="262">
        <f t="shared" si="86"/>
        <v>380.10399999999998</v>
      </c>
      <c r="Q357" s="262">
        <f t="shared" si="86"/>
        <v>1.6681999999999999</v>
      </c>
      <c r="R357" s="262">
        <f t="shared" si="86"/>
        <v>3.56E-2</v>
      </c>
      <c r="S357" s="262">
        <f t="shared" si="86"/>
        <v>74.518000000000001</v>
      </c>
      <c r="T357" s="262">
        <f t="shared" si="86"/>
        <v>4.5580000000000007</v>
      </c>
    </row>
    <row r="358" spans="2:20" x14ac:dyDescent="0.3">
      <c r="B358" s="350" t="s">
        <v>242</v>
      </c>
      <c r="C358" s="350"/>
      <c r="D358" s="350"/>
      <c r="E358" s="350"/>
      <c r="F358" s="173">
        <v>77</v>
      </c>
      <c r="G358" s="173">
        <v>79</v>
      </c>
      <c r="H358" s="173">
        <v>335</v>
      </c>
      <c r="I358" s="173">
        <v>2350</v>
      </c>
      <c r="J358" s="173">
        <v>1.2</v>
      </c>
      <c r="K358" s="173">
        <v>1.4</v>
      </c>
      <c r="L358" s="173">
        <v>60</v>
      </c>
      <c r="M358" s="173">
        <v>0.7</v>
      </c>
      <c r="N358" s="173">
        <v>10</v>
      </c>
      <c r="O358" s="173">
        <v>1100</v>
      </c>
      <c r="P358" s="173">
        <v>1100</v>
      </c>
      <c r="Q358" s="173">
        <v>10</v>
      </c>
      <c r="R358" s="173">
        <v>0.1</v>
      </c>
      <c r="S358" s="173">
        <v>250</v>
      </c>
      <c r="T358" s="173">
        <v>12</v>
      </c>
    </row>
    <row r="359" spans="2:20" x14ac:dyDescent="0.3">
      <c r="B359" s="350" t="s">
        <v>226</v>
      </c>
      <c r="C359" s="350"/>
      <c r="D359" s="350"/>
      <c r="E359" s="350"/>
      <c r="F359" s="179">
        <f>F357/F358</f>
        <v>0.26451948051948049</v>
      </c>
      <c r="G359" s="179">
        <f t="shared" ref="G359:T359" si="87">G357/G358</f>
        <v>0.29708860759493672</v>
      </c>
      <c r="H359" s="179">
        <f t="shared" si="87"/>
        <v>0.2301910447761194</v>
      </c>
      <c r="I359" s="179">
        <f t="shared" si="87"/>
        <v>0.25063574468085104</v>
      </c>
      <c r="J359" s="179">
        <f t="shared" si="87"/>
        <v>0.23449999999999999</v>
      </c>
      <c r="K359" s="179">
        <f t="shared" si="87"/>
        <v>0.27271428571428574</v>
      </c>
      <c r="L359" s="179">
        <f t="shared" si="87"/>
        <v>0.59219999999999995</v>
      </c>
      <c r="M359" s="179">
        <f t="shared" si="87"/>
        <v>0.19265714285714289</v>
      </c>
      <c r="N359" s="179">
        <f t="shared" si="87"/>
        <v>0.19270000000000001</v>
      </c>
      <c r="O359" s="179">
        <f t="shared" si="87"/>
        <v>0.22587636363636365</v>
      </c>
      <c r="P359" s="179">
        <f t="shared" si="87"/>
        <v>0.34554909090909092</v>
      </c>
      <c r="Q359" s="179">
        <f t="shared" si="87"/>
        <v>0.16682</v>
      </c>
      <c r="R359" s="179">
        <f t="shared" si="87"/>
        <v>0.35599999999999998</v>
      </c>
      <c r="S359" s="179">
        <f t="shared" si="87"/>
        <v>0.298072</v>
      </c>
      <c r="T359" s="179">
        <f t="shared" si="87"/>
        <v>0.37983333333333341</v>
      </c>
    </row>
    <row r="360" spans="2:20" x14ac:dyDescent="0.3">
      <c r="B360" s="350" t="s">
        <v>296</v>
      </c>
      <c r="C360" s="350"/>
      <c r="D360" s="350"/>
      <c r="E360" s="350"/>
      <c r="F360" s="201">
        <f t="shared" ref="F360:T360" si="88">(F337+F312+F276+F243+F209)/5</f>
        <v>28.692999999999994</v>
      </c>
      <c r="G360" s="201">
        <f t="shared" si="88"/>
        <v>29.066199999999998</v>
      </c>
      <c r="H360" s="201">
        <f t="shared" si="88"/>
        <v>74.543800000000005</v>
      </c>
      <c r="I360" s="201">
        <f t="shared" si="88"/>
        <v>673.51599999999996</v>
      </c>
      <c r="J360" s="201">
        <f t="shared" si="88"/>
        <v>0.52039999999999997</v>
      </c>
      <c r="K360" s="201">
        <f t="shared" si="88"/>
        <v>0.48240000000000005</v>
      </c>
      <c r="L360" s="201">
        <f t="shared" si="88"/>
        <v>38.840599999999995</v>
      </c>
      <c r="M360" s="201">
        <f t="shared" si="88"/>
        <v>0.72164000000000006</v>
      </c>
      <c r="N360" s="201">
        <f t="shared" si="88"/>
        <v>4.1414999999999997</v>
      </c>
      <c r="O360" s="201">
        <f t="shared" si="88"/>
        <v>188.0556</v>
      </c>
      <c r="P360" s="201">
        <f t="shared" si="88"/>
        <v>329.12419999999997</v>
      </c>
      <c r="Q360" s="201">
        <f t="shared" si="88"/>
        <v>2.4161999999999999</v>
      </c>
      <c r="R360" s="201">
        <f t="shared" si="88"/>
        <v>2.1000000000000001E-2</v>
      </c>
      <c r="S360" s="201">
        <f t="shared" si="88"/>
        <v>86.173400000000015</v>
      </c>
      <c r="T360" s="201">
        <f t="shared" si="88"/>
        <v>6.27</v>
      </c>
    </row>
    <row r="361" spans="2:20" x14ac:dyDescent="0.3">
      <c r="B361" s="350" t="s">
        <v>242</v>
      </c>
      <c r="C361" s="350"/>
      <c r="D361" s="350"/>
      <c r="E361" s="350"/>
      <c r="F361" s="173">
        <v>77</v>
      </c>
      <c r="G361" s="173">
        <v>79</v>
      </c>
      <c r="H361" s="173">
        <v>335</v>
      </c>
      <c r="I361" s="173">
        <v>2350</v>
      </c>
      <c r="J361" s="173">
        <v>1.2</v>
      </c>
      <c r="K361" s="173">
        <v>1.4</v>
      </c>
      <c r="L361" s="173">
        <v>60</v>
      </c>
      <c r="M361" s="173">
        <v>0.7</v>
      </c>
      <c r="N361" s="173">
        <v>10</v>
      </c>
      <c r="O361" s="173">
        <v>1100</v>
      </c>
      <c r="P361" s="173">
        <v>1100</v>
      </c>
      <c r="Q361" s="173">
        <v>10</v>
      </c>
      <c r="R361" s="173">
        <v>0.1</v>
      </c>
      <c r="S361" s="173">
        <v>250</v>
      </c>
      <c r="T361" s="173">
        <v>12</v>
      </c>
    </row>
    <row r="362" spans="2:20" x14ac:dyDescent="0.3">
      <c r="B362" s="350" t="s">
        <v>226</v>
      </c>
      <c r="C362" s="350"/>
      <c r="D362" s="350"/>
      <c r="E362" s="350"/>
      <c r="F362" s="179">
        <f>F360/F361</f>
        <v>0.37263636363636354</v>
      </c>
      <c r="G362" s="179">
        <f t="shared" ref="G362:T362" si="89">G360/G361</f>
        <v>0.36792658227848102</v>
      </c>
      <c r="H362" s="179">
        <f t="shared" si="89"/>
        <v>0.22251880597014928</v>
      </c>
      <c r="I362" s="179">
        <f t="shared" si="89"/>
        <v>0.28660255319148936</v>
      </c>
      <c r="J362" s="179">
        <f t="shared" si="89"/>
        <v>0.43366666666666664</v>
      </c>
      <c r="K362" s="179">
        <f t="shared" si="89"/>
        <v>0.34457142857142864</v>
      </c>
      <c r="L362" s="179">
        <f t="shared" si="89"/>
        <v>0.64734333333333327</v>
      </c>
      <c r="M362" s="179">
        <f t="shared" si="89"/>
        <v>1.0309142857142859</v>
      </c>
      <c r="N362" s="179">
        <f t="shared" si="89"/>
        <v>0.41414999999999996</v>
      </c>
      <c r="O362" s="179">
        <f t="shared" si="89"/>
        <v>0.17095963636363637</v>
      </c>
      <c r="P362" s="179">
        <f t="shared" si="89"/>
        <v>0.29920381818181818</v>
      </c>
      <c r="Q362" s="179">
        <f t="shared" si="89"/>
        <v>0.24162</v>
      </c>
      <c r="R362" s="179">
        <f t="shared" si="89"/>
        <v>0.21</v>
      </c>
      <c r="S362" s="179">
        <f t="shared" si="89"/>
        <v>0.34469360000000004</v>
      </c>
      <c r="T362" s="179">
        <f t="shared" si="89"/>
        <v>0.52249999999999996</v>
      </c>
    </row>
    <row r="363" spans="2:20" x14ac:dyDescent="0.3">
      <c r="B363" s="350" t="s">
        <v>297</v>
      </c>
      <c r="C363" s="350"/>
      <c r="D363" s="350"/>
      <c r="E363" s="350"/>
      <c r="F363" s="201">
        <f t="shared" ref="F363:T363" si="90">(F214+F248+F281+F317+F352)/5</f>
        <v>7.58</v>
      </c>
      <c r="G363" s="201">
        <f t="shared" si="90"/>
        <v>6.3959999999999999</v>
      </c>
      <c r="H363" s="201">
        <f t="shared" si="90"/>
        <v>62.519999999999996</v>
      </c>
      <c r="I363" s="201">
        <f t="shared" si="90"/>
        <v>337.46400000000006</v>
      </c>
      <c r="J363" s="201">
        <f t="shared" si="90"/>
        <v>8.4000000000000005E-2</v>
      </c>
      <c r="K363" s="201">
        <f t="shared" si="90"/>
        <v>8.199999999999999E-2</v>
      </c>
      <c r="L363" s="201">
        <f t="shared" si="90"/>
        <v>2.504</v>
      </c>
      <c r="M363" s="201">
        <f t="shared" si="90"/>
        <v>8.4020000000000011E-2</v>
      </c>
      <c r="N363" s="201">
        <f t="shared" si="90"/>
        <v>2.0999999999999998E-2</v>
      </c>
      <c r="O363" s="201">
        <f t="shared" si="90"/>
        <v>40.238000000000007</v>
      </c>
      <c r="P363" s="201">
        <f t="shared" si="90"/>
        <v>57.04</v>
      </c>
      <c r="Q363" s="201">
        <f t="shared" si="90"/>
        <v>5.0000000000000001E-3</v>
      </c>
      <c r="R363" s="201">
        <f t="shared" si="90"/>
        <v>0</v>
      </c>
      <c r="S363" s="201">
        <f t="shared" si="90"/>
        <v>15.594000000000003</v>
      </c>
      <c r="T363" s="201">
        <f t="shared" si="90"/>
        <v>1.5080000000000002</v>
      </c>
    </row>
    <row r="364" spans="2:20" x14ac:dyDescent="0.3">
      <c r="B364" s="350" t="s">
        <v>242</v>
      </c>
      <c r="C364" s="350"/>
      <c r="D364" s="350"/>
      <c r="E364" s="350"/>
      <c r="F364" s="173">
        <v>77</v>
      </c>
      <c r="G364" s="173">
        <v>79</v>
      </c>
      <c r="H364" s="173">
        <v>335</v>
      </c>
      <c r="I364" s="173">
        <v>2350</v>
      </c>
      <c r="J364" s="173">
        <v>1.2</v>
      </c>
      <c r="K364" s="173">
        <v>1.4</v>
      </c>
      <c r="L364" s="173">
        <v>60</v>
      </c>
      <c r="M364" s="173">
        <v>0.7</v>
      </c>
      <c r="N364" s="173">
        <v>10</v>
      </c>
      <c r="O364" s="173">
        <v>1100</v>
      </c>
      <c r="P364" s="173">
        <v>1100</v>
      </c>
      <c r="Q364" s="173">
        <v>10</v>
      </c>
      <c r="R364" s="173">
        <v>0.1</v>
      </c>
      <c r="S364" s="173">
        <v>250</v>
      </c>
      <c r="T364" s="173">
        <v>12</v>
      </c>
    </row>
    <row r="365" spans="2:20" x14ac:dyDescent="0.3">
      <c r="B365" s="350" t="s">
        <v>226</v>
      </c>
      <c r="C365" s="350"/>
      <c r="D365" s="350"/>
      <c r="E365" s="350"/>
      <c r="F365" s="179">
        <f>F363/F364</f>
        <v>9.8441558441558441E-2</v>
      </c>
      <c r="G365" s="179">
        <f t="shared" ref="G365:T365" si="91">G363/G364</f>
        <v>8.0962025316455702E-2</v>
      </c>
      <c r="H365" s="179">
        <f t="shared" si="91"/>
        <v>0.18662686567164177</v>
      </c>
      <c r="I365" s="179">
        <f t="shared" si="91"/>
        <v>0.1436017021276596</v>
      </c>
      <c r="J365" s="179">
        <f t="shared" si="91"/>
        <v>7.0000000000000007E-2</v>
      </c>
      <c r="K365" s="179">
        <f t="shared" si="91"/>
        <v>5.8571428571428566E-2</v>
      </c>
      <c r="L365" s="179">
        <f t="shared" si="91"/>
        <v>4.1733333333333331E-2</v>
      </c>
      <c r="M365" s="179">
        <f t="shared" si="91"/>
        <v>0.12002857142857146</v>
      </c>
      <c r="N365" s="179">
        <f t="shared" si="91"/>
        <v>2.0999999999999999E-3</v>
      </c>
      <c r="O365" s="179">
        <f t="shared" si="91"/>
        <v>3.6580000000000008E-2</v>
      </c>
      <c r="P365" s="179">
        <f t="shared" si="91"/>
        <v>5.1854545454545452E-2</v>
      </c>
      <c r="Q365" s="179">
        <f t="shared" si="91"/>
        <v>5.0000000000000001E-4</v>
      </c>
      <c r="R365" s="179">
        <f t="shared" si="91"/>
        <v>0</v>
      </c>
      <c r="S365" s="179">
        <f t="shared" si="91"/>
        <v>6.2376000000000015E-2</v>
      </c>
      <c r="T365" s="179">
        <f t="shared" si="91"/>
        <v>0.12566666666666668</v>
      </c>
    </row>
    <row r="366" spans="2:20" x14ac:dyDescent="0.3">
      <c r="B366" s="350" t="s">
        <v>328</v>
      </c>
      <c r="C366" s="350"/>
      <c r="D366" s="350"/>
      <c r="E366" s="350"/>
      <c r="F366" s="201">
        <f>F357+F360+F363</f>
        <v>56.640999999999991</v>
      </c>
      <c r="G366" s="201">
        <f t="shared" ref="G366:T366" si="92">G357+G360+G363</f>
        <v>58.932199999999995</v>
      </c>
      <c r="H366" s="201">
        <f t="shared" si="92"/>
        <v>214.17779999999999</v>
      </c>
      <c r="I366" s="201">
        <f t="shared" si="92"/>
        <v>1599.9739999999997</v>
      </c>
      <c r="J366" s="201">
        <f t="shared" si="92"/>
        <v>0.88579999999999992</v>
      </c>
      <c r="K366" s="201">
        <f t="shared" si="92"/>
        <v>0.94620000000000004</v>
      </c>
      <c r="L366" s="201">
        <f t="shared" si="92"/>
        <v>76.876599999999996</v>
      </c>
      <c r="M366" s="201">
        <f t="shared" si="92"/>
        <v>0.94052000000000002</v>
      </c>
      <c r="N366" s="201">
        <f t="shared" si="92"/>
        <v>6.0895000000000001</v>
      </c>
      <c r="O366" s="201">
        <f t="shared" si="92"/>
        <v>476.75760000000002</v>
      </c>
      <c r="P366" s="201">
        <f t="shared" si="92"/>
        <v>766.26819999999998</v>
      </c>
      <c r="Q366" s="201">
        <f t="shared" si="92"/>
        <v>4.0893999999999995</v>
      </c>
      <c r="R366" s="201">
        <f t="shared" si="92"/>
        <v>5.6599999999999998E-2</v>
      </c>
      <c r="S366" s="201">
        <f t="shared" si="92"/>
        <v>176.28540000000001</v>
      </c>
      <c r="T366" s="201">
        <f t="shared" si="92"/>
        <v>12.336</v>
      </c>
    </row>
    <row r="367" spans="2:20" x14ac:dyDescent="0.3">
      <c r="B367" s="350" t="s">
        <v>242</v>
      </c>
      <c r="C367" s="350"/>
      <c r="D367" s="350"/>
      <c r="E367" s="350"/>
      <c r="F367" s="173">
        <v>77</v>
      </c>
      <c r="G367" s="173">
        <v>79</v>
      </c>
      <c r="H367" s="173">
        <v>335</v>
      </c>
      <c r="I367" s="173">
        <v>2350</v>
      </c>
      <c r="J367" s="173">
        <v>1.2</v>
      </c>
      <c r="K367" s="173">
        <v>1.4</v>
      </c>
      <c r="L367" s="173">
        <v>60</v>
      </c>
      <c r="M367" s="173">
        <v>0.7</v>
      </c>
      <c r="N367" s="173">
        <v>10</v>
      </c>
      <c r="O367" s="173">
        <v>1100</v>
      </c>
      <c r="P367" s="173">
        <v>1100</v>
      </c>
      <c r="Q367" s="173">
        <v>10</v>
      </c>
      <c r="R367" s="173">
        <v>0.1</v>
      </c>
      <c r="S367" s="173">
        <v>250</v>
      </c>
      <c r="T367" s="173">
        <v>12</v>
      </c>
    </row>
    <row r="368" spans="2:20" x14ac:dyDescent="0.3">
      <c r="B368" s="350" t="s">
        <v>226</v>
      </c>
      <c r="C368" s="350"/>
      <c r="D368" s="350"/>
      <c r="E368" s="350"/>
      <c r="F368" s="179">
        <f>F366/F367</f>
        <v>0.73559740259740247</v>
      </c>
      <c r="G368" s="179">
        <f t="shared" ref="G368:O368" si="93">G366/G367</f>
        <v>0.74597721518987337</v>
      </c>
      <c r="H368" s="179">
        <f t="shared" si="93"/>
        <v>0.63933671641791046</v>
      </c>
      <c r="I368" s="179">
        <f t="shared" si="93"/>
        <v>0.68083999999999989</v>
      </c>
      <c r="J368" s="179">
        <f t="shared" si="93"/>
        <v>0.73816666666666664</v>
      </c>
      <c r="K368" s="179">
        <f t="shared" si="93"/>
        <v>0.67585714285714293</v>
      </c>
      <c r="L368" s="179">
        <f t="shared" si="93"/>
        <v>1.2812766666666666</v>
      </c>
      <c r="M368" s="179">
        <f t="shared" si="93"/>
        <v>1.3436000000000001</v>
      </c>
      <c r="N368" s="179">
        <f t="shared" si="93"/>
        <v>0.60894999999999999</v>
      </c>
      <c r="O368" s="179">
        <f t="shared" si="93"/>
        <v>0.43341600000000002</v>
      </c>
      <c r="P368" s="179">
        <f>P366/P367</f>
        <v>0.69660745454545447</v>
      </c>
      <c r="Q368" s="179">
        <f t="shared" ref="Q368:T368" si="94">Q366/Q367</f>
        <v>0.40893999999999997</v>
      </c>
      <c r="R368" s="179">
        <f t="shared" si="94"/>
        <v>0.56599999999999995</v>
      </c>
      <c r="S368" s="179">
        <f t="shared" si="94"/>
        <v>0.70514160000000004</v>
      </c>
      <c r="T368" s="179">
        <f t="shared" si="94"/>
        <v>1.028</v>
      </c>
    </row>
  </sheetData>
  <mergeCells count="445">
    <mergeCell ref="M1:T1"/>
    <mergeCell ref="B2:T2"/>
    <mergeCell ref="B3:C3"/>
    <mergeCell ref="G3:I3"/>
    <mergeCell ref="L3:M3"/>
    <mergeCell ref="N3:Q3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C20:D20"/>
    <mergeCell ref="C21:D21"/>
    <mergeCell ref="C22:D22"/>
    <mergeCell ref="C23:D23"/>
    <mergeCell ref="C24:D24"/>
    <mergeCell ref="C25:D25"/>
    <mergeCell ref="C13:D13"/>
    <mergeCell ref="B14:D14"/>
    <mergeCell ref="B15:E15"/>
    <mergeCell ref="B17:T17"/>
    <mergeCell ref="C18:D18"/>
    <mergeCell ref="C19:D19"/>
    <mergeCell ref="B32:E32"/>
    <mergeCell ref="B33:E33"/>
    <mergeCell ref="B34:E34"/>
    <mergeCell ref="B35:E35"/>
    <mergeCell ref="B36:E36"/>
    <mergeCell ref="M37:T37"/>
    <mergeCell ref="B26:D26"/>
    <mergeCell ref="B27:E27"/>
    <mergeCell ref="B28:T28"/>
    <mergeCell ref="C29:D29"/>
    <mergeCell ref="C30:D30"/>
    <mergeCell ref="B31:D31"/>
    <mergeCell ref="C41:D42"/>
    <mergeCell ref="E41:E42"/>
    <mergeCell ref="F41:H41"/>
    <mergeCell ref="J41:N41"/>
    <mergeCell ref="O41:T41"/>
    <mergeCell ref="C43:D43"/>
    <mergeCell ref="B38:T38"/>
    <mergeCell ref="B39:C39"/>
    <mergeCell ref="G39:I39"/>
    <mergeCell ref="L39:M39"/>
    <mergeCell ref="N39:Q39"/>
    <mergeCell ref="E40:F40"/>
    <mergeCell ref="L40:M40"/>
    <mergeCell ref="N40:T40"/>
    <mergeCell ref="C50:D50"/>
    <mergeCell ref="B52:E52"/>
    <mergeCell ref="B53:T53"/>
    <mergeCell ref="C54:D54"/>
    <mergeCell ref="C55:D55"/>
    <mergeCell ref="C56:D56"/>
    <mergeCell ref="B44:T44"/>
    <mergeCell ref="C45:D45"/>
    <mergeCell ref="C46:D46"/>
    <mergeCell ref="C47:D47"/>
    <mergeCell ref="C48:D48"/>
    <mergeCell ref="C49:D49"/>
    <mergeCell ref="B63:T63"/>
    <mergeCell ref="C64:D64"/>
    <mergeCell ref="C65:D65"/>
    <mergeCell ref="B66:D66"/>
    <mergeCell ref="B67:E67"/>
    <mergeCell ref="B68:E68"/>
    <mergeCell ref="C57:D57"/>
    <mergeCell ref="C58:D58"/>
    <mergeCell ref="C59:D59"/>
    <mergeCell ref="C60:D60"/>
    <mergeCell ref="B61:D61"/>
    <mergeCell ref="B62:E62"/>
    <mergeCell ref="E75:F75"/>
    <mergeCell ref="L75:M75"/>
    <mergeCell ref="N75:T75"/>
    <mergeCell ref="C76:D77"/>
    <mergeCell ref="E76:E77"/>
    <mergeCell ref="F76:H76"/>
    <mergeCell ref="J76:N76"/>
    <mergeCell ref="O76:T76"/>
    <mergeCell ref="B69:E69"/>
    <mergeCell ref="B70:E70"/>
    <mergeCell ref="B71:I71"/>
    <mergeCell ref="M71:T71"/>
    <mergeCell ref="B73:T73"/>
    <mergeCell ref="B74:C74"/>
    <mergeCell ref="G74:I74"/>
    <mergeCell ref="L74:M74"/>
    <mergeCell ref="N74:Q74"/>
    <mergeCell ref="C84:D84"/>
    <mergeCell ref="C85:D85"/>
    <mergeCell ref="B86:D86"/>
    <mergeCell ref="B87:E87"/>
    <mergeCell ref="B88:T88"/>
    <mergeCell ref="C89:D89"/>
    <mergeCell ref="C78:D78"/>
    <mergeCell ref="B79:T79"/>
    <mergeCell ref="C80:D80"/>
    <mergeCell ref="C81:D81"/>
    <mergeCell ref="C82:D82"/>
    <mergeCell ref="C83:D83"/>
    <mergeCell ref="B96:D96"/>
    <mergeCell ref="B97:E97"/>
    <mergeCell ref="B98:T98"/>
    <mergeCell ref="C99:D99"/>
    <mergeCell ref="C100:D100"/>
    <mergeCell ref="B102:E102"/>
    <mergeCell ref="C90:D90"/>
    <mergeCell ref="C91:D91"/>
    <mergeCell ref="C92:D92"/>
    <mergeCell ref="C93:D93"/>
    <mergeCell ref="C94:D94"/>
    <mergeCell ref="C95:D95"/>
    <mergeCell ref="E109:F109"/>
    <mergeCell ref="L109:M109"/>
    <mergeCell ref="N109:T109"/>
    <mergeCell ref="C110:D111"/>
    <mergeCell ref="E110:E111"/>
    <mergeCell ref="F110:H110"/>
    <mergeCell ref="J110:N110"/>
    <mergeCell ref="O110:T110"/>
    <mergeCell ref="B103:E103"/>
    <mergeCell ref="B104:E104"/>
    <mergeCell ref="B105:E105"/>
    <mergeCell ref="M106:T106"/>
    <mergeCell ref="B107:T107"/>
    <mergeCell ref="B108:C108"/>
    <mergeCell ref="G108:I108"/>
    <mergeCell ref="L108:M108"/>
    <mergeCell ref="N108:Q108"/>
    <mergeCell ref="C118:D118"/>
    <mergeCell ref="B120:E120"/>
    <mergeCell ref="B121:T121"/>
    <mergeCell ref="C122:D122"/>
    <mergeCell ref="C123:D123"/>
    <mergeCell ref="C124:D124"/>
    <mergeCell ref="C112:D112"/>
    <mergeCell ref="B113:T113"/>
    <mergeCell ref="C114:D114"/>
    <mergeCell ref="C115:D115"/>
    <mergeCell ref="C116:D116"/>
    <mergeCell ref="C117:D117"/>
    <mergeCell ref="B131:T131"/>
    <mergeCell ref="C132:D132"/>
    <mergeCell ref="C133:D133"/>
    <mergeCell ref="B134:D134"/>
    <mergeCell ref="B135:E135"/>
    <mergeCell ref="B136:E136"/>
    <mergeCell ref="C125:D125"/>
    <mergeCell ref="C126:D126"/>
    <mergeCell ref="C127:D127"/>
    <mergeCell ref="C128:D128"/>
    <mergeCell ref="B129:D129"/>
    <mergeCell ref="B130:E130"/>
    <mergeCell ref="E142:F142"/>
    <mergeCell ref="L142:M142"/>
    <mergeCell ref="N142:T142"/>
    <mergeCell ref="C143:D144"/>
    <mergeCell ref="E143:E144"/>
    <mergeCell ref="F143:H143"/>
    <mergeCell ref="J143:N143"/>
    <mergeCell ref="O143:T143"/>
    <mergeCell ref="B137:E137"/>
    <mergeCell ref="B138:E138"/>
    <mergeCell ref="M139:T139"/>
    <mergeCell ref="B140:T140"/>
    <mergeCell ref="B141:C141"/>
    <mergeCell ref="G141:I141"/>
    <mergeCell ref="L141:M141"/>
    <mergeCell ref="N141:Q141"/>
    <mergeCell ref="B153:D153"/>
    <mergeCell ref="B154:E154"/>
    <mergeCell ref="B155:T155"/>
    <mergeCell ref="C156:D156"/>
    <mergeCell ref="C157:D157"/>
    <mergeCell ref="C158:D158"/>
    <mergeCell ref="C145:D145"/>
    <mergeCell ref="B146:T146"/>
    <mergeCell ref="C149:D149"/>
    <mergeCell ref="C150:D150"/>
    <mergeCell ref="C151:D151"/>
    <mergeCell ref="C152:D152"/>
    <mergeCell ref="B165:T165"/>
    <mergeCell ref="C166:D166"/>
    <mergeCell ref="C167:D167"/>
    <mergeCell ref="B168:D168"/>
    <mergeCell ref="B169:E169"/>
    <mergeCell ref="B170:E170"/>
    <mergeCell ref="C159:D159"/>
    <mergeCell ref="C160:D160"/>
    <mergeCell ref="C161:D161"/>
    <mergeCell ref="C162:D162"/>
    <mergeCell ref="B163:D163"/>
    <mergeCell ref="B164:E164"/>
    <mergeCell ref="B177:E177"/>
    <mergeCell ref="B178:E178"/>
    <mergeCell ref="B179:E179"/>
    <mergeCell ref="B180:E180"/>
    <mergeCell ref="B181:E181"/>
    <mergeCell ref="B182:E182"/>
    <mergeCell ref="B171:E171"/>
    <mergeCell ref="B172:E172"/>
    <mergeCell ref="B173:E173"/>
    <mergeCell ref="B174:E174"/>
    <mergeCell ref="B175:E175"/>
    <mergeCell ref="B176:E176"/>
    <mergeCell ref="E188:F188"/>
    <mergeCell ref="L188:M188"/>
    <mergeCell ref="N188:T188"/>
    <mergeCell ref="C189:D190"/>
    <mergeCell ref="E189:E190"/>
    <mergeCell ref="F189:H189"/>
    <mergeCell ref="J189:N189"/>
    <mergeCell ref="O189:T189"/>
    <mergeCell ref="B183:E183"/>
    <mergeCell ref="B184:E184"/>
    <mergeCell ref="M185:T185"/>
    <mergeCell ref="B186:T186"/>
    <mergeCell ref="B187:C187"/>
    <mergeCell ref="G187:I187"/>
    <mergeCell ref="L187:M187"/>
    <mergeCell ref="N187:Q187"/>
    <mergeCell ref="C197:D197"/>
    <mergeCell ref="B198:D198"/>
    <mergeCell ref="B199:E199"/>
    <mergeCell ref="B200:T200"/>
    <mergeCell ref="C201:D201"/>
    <mergeCell ref="C202:D202"/>
    <mergeCell ref="C191:D191"/>
    <mergeCell ref="B192:T192"/>
    <mergeCell ref="C193:D193"/>
    <mergeCell ref="C194:D194"/>
    <mergeCell ref="C195:D195"/>
    <mergeCell ref="C196:D196"/>
    <mergeCell ref="B209:D209"/>
    <mergeCell ref="B210:E210"/>
    <mergeCell ref="B211:T211"/>
    <mergeCell ref="C212:D212"/>
    <mergeCell ref="C213:D213"/>
    <mergeCell ref="B214:D214"/>
    <mergeCell ref="C203:D203"/>
    <mergeCell ref="C204:D204"/>
    <mergeCell ref="C205:D205"/>
    <mergeCell ref="C206:D206"/>
    <mergeCell ref="C207:D207"/>
    <mergeCell ref="C208:D208"/>
    <mergeCell ref="B221:C221"/>
    <mergeCell ref="G221:I221"/>
    <mergeCell ref="L221:M221"/>
    <mergeCell ref="N221:Q221"/>
    <mergeCell ref="E222:F222"/>
    <mergeCell ref="L222:M222"/>
    <mergeCell ref="N222:T222"/>
    <mergeCell ref="B215:E215"/>
    <mergeCell ref="B216:E216"/>
    <mergeCell ref="B217:E217"/>
    <mergeCell ref="B218:E218"/>
    <mergeCell ref="M219:T219"/>
    <mergeCell ref="B220:T220"/>
    <mergeCell ref="B226:T226"/>
    <mergeCell ref="C227:D227"/>
    <mergeCell ref="C228:D228"/>
    <mergeCell ref="C229:D229"/>
    <mergeCell ref="C230:D230"/>
    <mergeCell ref="C231:D231"/>
    <mergeCell ref="C223:D224"/>
    <mergeCell ref="E223:E224"/>
    <mergeCell ref="F223:H223"/>
    <mergeCell ref="J223:N223"/>
    <mergeCell ref="O223:T223"/>
    <mergeCell ref="C225:D225"/>
    <mergeCell ref="C238:D238"/>
    <mergeCell ref="C239:D239"/>
    <mergeCell ref="C240:D240"/>
    <mergeCell ref="C241:D241"/>
    <mergeCell ref="C242:D242"/>
    <mergeCell ref="B243:D243"/>
    <mergeCell ref="C232:D232"/>
    <mergeCell ref="B233:D233"/>
    <mergeCell ref="B234:E234"/>
    <mergeCell ref="B235:T235"/>
    <mergeCell ref="C236:D236"/>
    <mergeCell ref="C237:D237"/>
    <mergeCell ref="B250:E250"/>
    <mergeCell ref="B251:E251"/>
    <mergeCell ref="B252:E252"/>
    <mergeCell ref="B253:I253"/>
    <mergeCell ref="M253:T253"/>
    <mergeCell ref="B255:T255"/>
    <mergeCell ref="B244:E244"/>
    <mergeCell ref="B245:T245"/>
    <mergeCell ref="C246:D246"/>
    <mergeCell ref="C247:D247"/>
    <mergeCell ref="B248:D248"/>
    <mergeCell ref="B249:E249"/>
    <mergeCell ref="C258:D259"/>
    <mergeCell ref="E258:E259"/>
    <mergeCell ref="F258:H258"/>
    <mergeCell ref="J258:N258"/>
    <mergeCell ref="O258:T258"/>
    <mergeCell ref="C260:D260"/>
    <mergeCell ref="B256:C256"/>
    <mergeCell ref="G256:I256"/>
    <mergeCell ref="L256:M256"/>
    <mergeCell ref="N256:Q256"/>
    <mergeCell ref="E257:F257"/>
    <mergeCell ref="L257:M257"/>
    <mergeCell ref="N257:T257"/>
    <mergeCell ref="B266:D266"/>
    <mergeCell ref="B267:E267"/>
    <mergeCell ref="B268:T268"/>
    <mergeCell ref="C269:D269"/>
    <mergeCell ref="C270:D270"/>
    <mergeCell ref="C271:D271"/>
    <mergeCell ref="B261:T261"/>
    <mergeCell ref="C262:D262"/>
    <mergeCell ref="C263:D263"/>
    <mergeCell ref="C264:D264"/>
    <mergeCell ref="C265:D265"/>
    <mergeCell ref="B278:T278"/>
    <mergeCell ref="C279:D279"/>
    <mergeCell ref="C280:D280"/>
    <mergeCell ref="B281:D281"/>
    <mergeCell ref="B282:E282"/>
    <mergeCell ref="B283:E283"/>
    <mergeCell ref="C272:D272"/>
    <mergeCell ref="C273:D273"/>
    <mergeCell ref="C274:D274"/>
    <mergeCell ref="C275:D275"/>
    <mergeCell ref="B276:D276"/>
    <mergeCell ref="B277:E277"/>
    <mergeCell ref="E290:F290"/>
    <mergeCell ref="L290:M290"/>
    <mergeCell ref="N290:T290"/>
    <mergeCell ref="C291:D292"/>
    <mergeCell ref="E291:E292"/>
    <mergeCell ref="F291:H291"/>
    <mergeCell ref="J291:N291"/>
    <mergeCell ref="O291:T291"/>
    <mergeCell ref="B284:E284"/>
    <mergeCell ref="B285:E285"/>
    <mergeCell ref="B286:I286"/>
    <mergeCell ref="M286:T286"/>
    <mergeCell ref="B288:T288"/>
    <mergeCell ref="B289:C289"/>
    <mergeCell ref="G289:I289"/>
    <mergeCell ref="L289:M289"/>
    <mergeCell ref="N289:Q289"/>
    <mergeCell ref="C299:D299"/>
    <mergeCell ref="C300:D300"/>
    <mergeCell ref="C301:D301"/>
    <mergeCell ref="B303:E303"/>
    <mergeCell ref="B304:T304"/>
    <mergeCell ref="C305:D305"/>
    <mergeCell ref="C293:D293"/>
    <mergeCell ref="B294:T294"/>
    <mergeCell ref="C295:D295"/>
    <mergeCell ref="C296:D296"/>
    <mergeCell ref="C297:D297"/>
    <mergeCell ref="C298:D298"/>
    <mergeCell ref="B312:D312"/>
    <mergeCell ref="B313:E313"/>
    <mergeCell ref="B314:T314"/>
    <mergeCell ref="C315:D315"/>
    <mergeCell ref="C316:D316"/>
    <mergeCell ref="B317:D317"/>
    <mergeCell ref="C306:D306"/>
    <mergeCell ref="C307:D307"/>
    <mergeCell ref="C308:D308"/>
    <mergeCell ref="C309:D309"/>
    <mergeCell ref="C310:D310"/>
    <mergeCell ref="C311:D311"/>
    <mergeCell ref="B324:C324"/>
    <mergeCell ref="G324:I324"/>
    <mergeCell ref="L324:M324"/>
    <mergeCell ref="N324:Q324"/>
    <mergeCell ref="E325:F325"/>
    <mergeCell ref="L325:M325"/>
    <mergeCell ref="N325:T325"/>
    <mergeCell ref="B318:E318"/>
    <mergeCell ref="B319:E319"/>
    <mergeCell ref="B320:E320"/>
    <mergeCell ref="B321:E321"/>
    <mergeCell ref="M322:T322"/>
    <mergeCell ref="B323:T323"/>
    <mergeCell ref="B329:T329"/>
    <mergeCell ref="C332:D332"/>
    <mergeCell ref="C333:D333"/>
    <mergeCell ref="C334:D334"/>
    <mergeCell ref="C335:D335"/>
    <mergeCell ref="C336:D336"/>
    <mergeCell ref="C326:D327"/>
    <mergeCell ref="E326:E327"/>
    <mergeCell ref="F326:H326"/>
    <mergeCell ref="J326:N326"/>
    <mergeCell ref="O326:T326"/>
    <mergeCell ref="C328:D328"/>
    <mergeCell ref="C343:D343"/>
    <mergeCell ref="C344:D344"/>
    <mergeCell ref="C345:D345"/>
    <mergeCell ref="C346:D346"/>
    <mergeCell ref="B347:D347"/>
    <mergeCell ref="B348:E348"/>
    <mergeCell ref="B337:D337"/>
    <mergeCell ref="B338:E338"/>
    <mergeCell ref="B339:T339"/>
    <mergeCell ref="C340:D340"/>
    <mergeCell ref="C341:D341"/>
    <mergeCell ref="C342:D342"/>
    <mergeCell ref="B367:E367"/>
    <mergeCell ref="B368:E368"/>
    <mergeCell ref="C147:D147"/>
    <mergeCell ref="C148:D148"/>
    <mergeCell ref="C330:D330"/>
    <mergeCell ref="C331:D331"/>
    <mergeCell ref="B361:E361"/>
    <mergeCell ref="B362:E362"/>
    <mergeCell ref="B363:E363"/>
    <mergeCell ref="B364:E364"/>
    <mergeCell ref="B365:E365"/>
    <mergeCell ref="B366:E366"/>
    <mergeCell ref="B355:E355"/>
    <mergeCell ref="B356:E356"/>
    <mergeCell ref="B357:E357"/>
    <mergeCell ref="B358:E358"/>
    <mergeCell ref="B359:E359"/>
    <mergeCell ref="B360:E360"/>
    <mergeCell ref="B349:T349"/>
    <mergeCell ref="C350:D350"/>
    <mergeCell ref="C351:D351"/>
    <mergeCell ref="B352:D352"/>
    <mergeCell ref="B353:E353"/>
    <mergeCell ref="B354:E354"/>
  </mergeCells>
  <pageMargins left="0" right="0" top="0" bottom="0" header="0.31496062992125984" footer="0.31496062992125984"/>
  <pageSetup paperSize="9" scale="80" orientation="landscape" r:id="rId1"/>
  <rowBreaks count="10" manualBreakCount="10">
    <brk id="36" max="16383" man="1"/>
    <brk id="70" max="16383" man="1"/>
    <brk id="105" max="16383" man="1"/>
    <brk id="138" max="16383" man="1"/>
    <brk id="175" max="19" man="1"/>
    <brk id="184" max="16383" man="1"/>
    <brk id="218" max="16383" man="1"/>
    <brk id="252" max="16383" man="1"/>
    <brk id="285" max="16383" man="1"/>
    <brk id="3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4"/>
  <sheetViews>
    <sheetView topLeftCell="A48" zoomScale="70" zoomScaleNormal="70" workbookViewId="0">
      <selection activeCell="P132" sqref="P132"/>
    </sheetView>
  </sheetViews>
  <sheetFormatPr defaultColWidth="8.33203125" defaultRowHeight="14.4" x14ac:dyDescent="0.3"/>
  <cols>
    <col min="2" max="2" width="8.33203125" style="199"/>
    <col min="3" max="3" width="15.44140625" style="199" customWidth="1"/>
    <col min="4" max="4" width="19.33203125" style="199" customWidth="1"/>
    <col min="5" max="9" width="8.33203125" style="199"/>
    <col min="10" max="10" width="8.88671875" style="199" customWidth="1"/>
    <col min="11" max="12" width="8.33203125" style="199"/>
    <col min="13" max="13" width="9.6640625" style="199" customWidth="1"/>
    <col min="14" max="17" width="8.33203125" style="199"/>
    <col min="18" max="18" width="9.109375" style="199" customWidth="1"/>
    <col min="19" max="20" width="8.33203125" style="199"/>
  </cols>
  <sheetData>
    <row r="1" spans="2:20" ht="15.75" customHeight="1" x14ac:dyDescent="0.3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63" t="s">
        <v>187</v>
      </c>
      <c r="N1" s="363"/>
      <c r="O1" s="363"/>
      <c r="P1" s="363"/>
      <c r="Q1" s="363"/>
      <c r="R1" s="363"/>
      <c r="S1" s="363"/>
      <c r="T1" s="363"/>
    </row>
    <row r="2" spans="2:20" ht="15.75" customHeight="1" x14ac:dyDescent="0.3">
      <c r="B2" s="360" t="s">
        <v>188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2:20" ht="15.75" customHeight="1" x14ac:dyDescent="0.3">
      <c r="B3" s="387" t="s">
        <v>189</v>
      </c>
      <c r="C3" s="387"/>
      <c r="D3" s="252"/>
      <c r="E3" s="252"/>
      <c r="F3" s="252"/>
      <c r="G3" s="388" t="s">
        <v>190</v>
      </c>
      <c r="H3" s="388"/>
      <c r="I3" s="388"/>
      <c r="J3" s="252"/>
      <c r="K3" s="252"/>
      <c r="L3" s="387" t="s">
        <v>191</v>
      </c>
      <c r="M3" s="387"/>
      <c r="N3" s="388" t="s">
        <v>192</v>
      </c>
      <c r="O3" s="388"/>
      <c r="P3" s="388"/>
      <c r="Q3" s="388"/>
      <c r="R3" s="252"/>
      <c r="S3" s="252"/>
      <c r="T3" s="252"/>
    </row>
    <row r="4" spans="2:20" x14ac:dyDescent="0.3">
      <c r="B4" s="363" t="s">
        <v>193</v>
      </c>
      <c r="C4" s="363"/>
      <c r="D4" s="363"/>
      <c r="E4" s="386" t="s">
        <v>194</v>
      </c>
      <c r="F4" s="386"/>
      <c r="G4" s="173">
        <v>1</v>
      </c>
      <c r="H4" s="173"/>
      <c r="I4" s="173"/>
      <c r="J4" s="173"/>
      <c r="K4" s="173"/>
      <c r="L4" s="360" t="s">
        <v>195</v>
      </c>
      <c r="M4" s="360"/>
      <c r="N4" s="363" t="s">
        <v>347</v>
      </c>
      <c r="O4" s="363"/>
      <c r="P4" s="363"/>
      <c r="Q4" s="363"/>
      <c r="R4" s="363"/>
      <c r="S4" s="363"/>
      <c r="T4" s="363"/>
    </row>
    <row r="5" spans="2:20" x14ac:dyDescent="0.3">
      <c r="B5" s="361" t="s">
        <v>197</v>
      </c>
      <c r="C5" s="361" t="s">
        <v>198</v>
      </c>
      <c r="D5" s="361"/>
      <c r="E5" s="361" t="s">
        <v>199</v>
      </c>
      <c r="F5" s="361" t="s">
        <v>200</v>
      </c>
      <c r="G5" s="361"/>
      <c r="H5" s="361"/>
      <c r="I5" s="174" t="s">
        <v>201</v>
      </c>
      <c r="J5" s="361" t="s">
        <v>202</v>
      </c>
      <c r="K5" s="361"/>
      <c r="L5" s="361"/>
      <c r="M5" s="361"/>
      <c r="N5" s="361"/>
      <c r="O5" s="361" t="s">
        <v>203</v>
      </c>
      <c r="P5" s="361"/>
      <c r="Q5" s="361"/>
      <c r="R5" s="361"/>
      <c r="S5" s="361"/>
      <c r="T5" s="361"/>
    </row>
    <row r="6" spans="2:20" ht="39.6" x14ac:dyDescent="0.3">
      <c r="B6" s="361"/>
      <c r="C6" s="361"/>
      <c r="D6" s="361"/>
      <c r="E6" s="361"/>
      <c r="F6" s="174" t="s">
        <v>204</v>
      </c>
      <c r="G6" s="174" t="s">
        <v>205</v>
      </c>
      <c r="H6" s="174" t="s">
        <v>206</v>
      </c>
      <c r="I6" s="174" t="s">
        <v>207</v>
      </c>
      <c r="J6" s="174" t="s">
        <v>208</v>
      </c>
      <c r="K6" s="174" t="s">
        <v>209</v>
      </c>
      <c r="L6" s="174" t="s">
        <v>210</v>
      </c>
      <c r="M6" s="174" t="s">
        <v>211</v>
      </c>
      <c r="N6" s="174" t="s">
        <v>212</v>
      </c>
      <c r="O6" s="174" t="s">
        <v>213</v>
      </c>
      <c r="P6" s="174" t="s">
        <v>214</v>
      </c>
      <c r="Q6" s="174" t="s">
        <v>215</v>
      </c>
      <c r="R6" s="174" t="s">
        <v>216</v>
      </c>
      <c r="S6" s="174" t="s">
        <v>217</v>
      </c>
      <c r="T6" s="174" t="s">
        <v>218</v>
      </c>
    </row>
    <row r="7" spans="2:20" x14ac:dyDescent="0.3">
      <c r="B7" s="175">
        <v>1</v>
      </c>
      <c r="C7" s="362">
        <v>2</v>
      </c>
      <c r="D7" s="362"/>
      <c r="E7" s="175">
        <v>3</v>
      </c>
      <c r="F7" s="175">
        <v>4</v>
      </c>
      <c r="G7" s="175">
        <v>5</v>
      </c>
      <c r="H7" s="175">
        <v>6</v>
      </c>
      <c r="I7" s="175">
        <v>7</v>
      </c>
      <c r="J7" s="175">
        <v>8</v>
      </c>
      <c r="K7" s="175">
        <v>9</v>
      </c>
      <c r="L7" s="175">
        <v>10</v>
      </c>
      <c r="M7" s="175">
        <v>11</v>
      </c>
      <c r="N7" s="175">
        <v>12</v>
      </c>
      <c r="O7" s="175">
        <v>13</v>
      </c>
      <c r="P7" s="175">
        <v>14</v>
      </c>
      <c r="Q7" s="175">
        <v>15</v>
      </c>
      <c r="R7" s="175">
        <v>16</v>
      </c>
      <c r="S7" s="175">
        <v>17</v>
      </c>
      <c r="T7" s="175">
        <v>18</v>
      </c>
    </row>
    <row r="8" spans="2:20" x14ac:dyDescent="0.3">
      <c r="B8" s="386" t="s">
        <v>219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</row>
    <row r="9" spans="2:20" s="176" customFormat="1" ht="18" customHeight="1" x14ac:dyDescent="0.3">
      <c r="B9" s="177">
        <v>338</v>
      </c>
      <c r="C9" s="352" t="s">
        <v>220</v>
      </c>
      <c r="D9" s="352"/>
      <c r="E9" s="177">
        <v>100</v>
      </c>
      <c r="F9" s="177">
        <v>0.4</v>
      </c>
      <c r="G9" s="177">
        <v>0.4</v>
      </c>
      <c r="H9" s="177">
        <v>9.8000000000000007</v>
      </c>
      <c r="I9" s="177">
        <v>42</v>
      </c>
      <c r="J9" s="177">
        <v>0.04</v>
      </c>
      <c r="K9" s="177">
        <v>0.02</v>
      </c>
      <c r="L9" s="177">
        <v>10</v>
      </c>
      <c r="M9" s="177">
        <v>0</v>
      </c>
      <c r="N9" s="177">
        <v>0.2</v>
      </c>
      <c r="O9" s="177">
        <v>16</v>
      </c>
      <c r="P9" s="177">
        <v>11</v>
      </c>
      <c r="Q9" s="177">
        <v>0</v>
      </c>
      <c r="R9" s="177">
        <v>0</v>
      </c>
      <c r="S9" s="177">
        <v>9</v>
      </c>
      <c r="T9" s="177">
        <v>2.2000000000000002</v>
      </c>
    </row>
    <row r="10" spans="2:20" s="176" customFormat="1" ht="27" customHeight="1" x14ac:dyDescent="0.3">
      <c r="B10" s="177">
        <v>15</v>
      </c>
      <c r="C10" s="352" t="s">
        <v>221</v>
      </c>
      <c r="D10" s="352"/>
      <c r="E10" s="177">
        <v>20</v>
      </c>
      <c r="F10" s="177">
        <v>4.6399999999999997</v>
      </c>
      <c r="G10" s="177">
        <v>6.8</v>
      </c>
      <c r="H10" s="177">
        <v>0.02</v>
      </c>
      <c r="I10" s="177">
        <v>79.8</v>
      </c>
      <c r="J10" s="177">
        <v>0.01</v>
      </c>
      <c r="K10" s="177">
        <v>0.06</v>
      </c>
      <c r="L10" s="177">
        <v>0.14000000000000001</v>
      </c>
      <c r="M10" s="177">
        <v>4.5999999999999999E-2</v>
      </c>
      <c r="N10" s="177">
        <v>0.1</v>
      </c>
      <c r="O10" s="177">
        <v>176</v>
      </c>
      <c r="P10" s="177">
        <v>100</v>
      </c>
      <c r="Q10" s="177">
        <v>0.8</v>
      </c>
      <c r="R10" s="177">
        <v>0.04</v>
      </c>
      <c r="S10" s="177">
        <v>7</v>
      </c>
      <c r="T10" s="177">
        <v>0.26</v>
      </c>
    </row>
    <row r="11" spans="2:20" s="176" customFormat="1" ht="29.25" customHeight="1" x14ac:dyDescent="0.3">
      <c r="B11" s="177">
        <v>173</v>
      </c>
      <c r="C11" s="352" t="s">
        <v>222</v>
      </c>
      <c r="D11" s="352"/>
      <c r="E11" s="177">
        <v>250</v>
      </c>
      <c r="F11" s="177">
        <v>9.0380000000000003</v>
      </c>
      <c r="G11" s="177">
        <v>12.263</v>
      </c>
      <c r="H11" s="177">
        <v>36</v>
      </c>
      <c r="I11" s="177">
        <v>290.51</v>
      </c>
      <c r="J11" s="177">
        <v>0.27500000000000002</v>
      </c>
      <c r="K11" s="177">
        <v>0.25</v>
      </c>
      <c r="L11" s="177">
        <v>1.625</v>
      </c>
      <c r="M11" s="177">
        <v>0.1</v>
      </c>
      <c r="N11" s="177">
        <v>0</v>
      </c>
      <c r="O11" s="177">
        <v>178.22499999999999</v>
      </c>
      <c r="P11" s="177">
        <v>277.97500000000002</v>
      </c>
      <c r="Q11" s="177">
        <v>0</v>
      </c>
      <c r="R11" s="177">
        <v>1E-3</v>
      </c>
      <c r="S11" s="177">
        <v>82.113</v>
      </c>
      <c r="T11" s="177">
        <v>1.913</v>
      </c>
    </row>
    <row r="12" spans="2:20" s="176" customFormat="1" ht="18" customHeight="1" x14ac:dyDescent="0.3">
      <c r="B12" s="177">
        <v>382</v>
      </c>
      <c r="C12" s="352" t="s">
        <v>223</v>
      </c>
      <c r="D12" s="352"/>
      <c r="E12" s="177">
        <v>200</v>
      </c>
      <c r="F12" s="177">
        <v>3.5</v>
      </c>
      <c r="G12" s="177">
        <v>3.7</v>
      </c>
      <c r="H12" s="177">
        <v>25.5</v>
      </c>
      <c r="I12" s="177">
        <v>149.30000000000001</v>
      </c>
      <c r="J12" s="177">
        <v>0.06</v>
      </c>
      <c r="K12" s="177">
        <v>0.01</v>
      </c>
      <c r="L12" s="177">
        <v>1.6</v>
      </c>
      <c r="M12" s="177">
        <v>0.04</v>
      </c>
      <c r="N12" s="177">
        <v>0.4</v>
      </c>
      <c r="O12" s="177">
        <v>102.6</v>
      </c>
      <c r="P12" s="177">
        <v>178.4</v>
      </c>
      <c r="Q12" s="177">
        <v>1</v>
      </c>
      <c r="R12" s="177">
        <v>1.2999999999999999E-2</v>
      </c>
      <c r="S12" s="177">
        <v>24.8</v>
      </c>
      <c r="T12" s="177">
        <v>1</v>
      </c>
    </row>
    <row r="13" spans="2:20" s="176" customFormat="1" ht="18" customHeight="1" x14ac:dyDescent="0.3">
      <c r="B13" s="177" t="s">
        <v>224</v>
      </c>
      <c r="C13" s="352" t="s">
        <v>161</v>
      </c>
      <c r="D13" s="352"/>
      <c r="E13" s="177">
        <v>40</v>
      </c>
      <c r="F13" s="177">
        <v>3.04</v>
      </c>
      <c r="G13" s="177">
        <v>0.32</v>
      </c>
      <c r="H13" s="177">
        <v>19.68</v>
      </c>
      <c r="I13" s="177">
        <v>88.8</v>
      </c>
      <c r="J13" s="177">
        <v>0.04</v>
      </c>
      <c r="K13" s="177">
        <v>0.01</v>
      </c>
      <c r="L13" s="177">
        <v>0.88</v>
      </c>
      <c r="M13" s="177">
        <v>0</v>
      </c>
      <c r="N13" s="177">
        <v>0.7</v>
      </c>
      <c r="O13" s="177">
        <v>8</v>
      </c>
      <c r="P13" s="177">
        <v>26</v>
      </c>
      <c r="Q13" s="177">
        <v>8.0000000000000002E-3</v>
      </c>
      <c r="R13" s="177">
        <v>3.0000000000000001E-3</v>
      </c>
      <c r="S13" s="177">
        <v>0</v>
      </c>
      <c r="T13" s="177">
        <v>0.44</v>
      </c>
    </row>
    <row r="14" spans="2:20" s="176" customFormat="1" ht="18" customHeight="1" x14ac:dyDescent="0.3">
      <c r="B14" s="356" t="s">
        <v>225</v>
      </c>
      <c r="C14" s="357"/>
      <c r="D14" s="358"/>
      <c r="E14" s="178">
        <f>SUM(E9:E13)</f>
        <v>610</v>
      </c>
      <c r="F14" s="178">
        <f t="shared" ref="F14:T14" si="0">SUM(F9:F13)</f>
        <v>20.617999999999999</v>
      </c>
      <c r="G14" s="178">
        <f t="shared" si="0"/>
        <v>23.483000000000001</v>
      </c>
      <c r="H14" s="178">
        <f t="shared" si="0"/>
        <v>91</v>
      </c>
      <c r="I14" s="178">
        <f t="shared" si="0"/>
        <v>650.41</v>
      </c>
      <c r="J14" s="178">
        <f t="shared" si="0"/>
        <v>0.42499999999999999</v>
      </c>
      <c r="K14" s="178">
        <f t="shared" si="0"/>
        <v>0.35000000000000003</v>
      </c>
      <c r="L14" s="178">
        <f t="shared" si="0"/>
        <v>14.245000000000001</v>
      </c>
      <c r="M14" s="178">
        <f t="shared" si="0"/>
        <v>0.18600000000000003</v>
      </c>
      <c r="N14" s="178">
        <f t="shared" si="0"/>
        <v>1.4</v>
      </c>
      <c r="O14" s="178">
        <f t="shared" si="0"/>
        <v>480.82500000000005</v>
      </c>
      <c r="P14" s="178">
        <f t="shared" si="0"/>
        <v>593.375</v>
      </c>
      <c r="Q14" s="178">
        <f t="shared" si="0"/>
        <v>1.8080000000000001</v>
      </c>
      <c r="R14" s="178">
        <f t="shared" si="0"/>
        <v>5.7000000000000002E-2</v>
      </c>
      <c r="S14" s="178">
        <f t="shared" si="0"/>
        <v>122.913</v>
      </c>
      <c r="T14" s="178">
        <f t="shared" si="0"/>
        <v>5.8130000000000006</v>
      </c>
    </row>
    <row r="15" spans="2:20" s="176" customFormat="1" ht="18" customHeight="1" x14ac:dyDescent="0.3">
      <c r="B15" s="350" t="s">
        <v>226</v>
      </c>
      <c r="C15" s="350"/>
      <c r="D15" s="350"/>
      <c r="E15" s="350"/>
      <c r="F15" s="179">
        <f t="shared" ref="F15:T15" si="1">F14/F33</f>
        <v>0.22908888888888887</v>
      </c>
      <c r="G15" s="179">
        <f t="shared" si="1"/>
        <v>0.25525000000000003</v>
      </c>
      <c r="H15" s="179">
        <f t="shared" si="1"/>
        <v>0.23759791122715404</v>
      </c>
      <c r="I15" s="179">
        <f t="shared" si="1"/>
        <v>0.23912132352941176</v>
      </c>
      <c r="J15" s="179">
        <f t="shared" si="1"/>
        <v>0.3035714285714286</v>
      </c>
      <c r="K15" s="179">
        <f t="shared" si="1"/>
        <v>0.21875</v>
      </c>
      <c r="L15" s="179">
        <f t="shared" si="1"/>
        <v>0.20350000000000001</v>
      </c>
      <c r="M15" s="179">
        <f t="shared" si="1"/>
        <v>0.20666666666666669</v>
      </c>
      <c r="N15" s="179">
        <f t="shared" si="1"/>
        <v>0.11666666666666665</v>
      </c>
      <c r="O15" s="179">
        <f t="shared" si="1"/>
        <v>0.40068750000000003</v>
      </c>
      <c r="P15" s="179">
        <f t="shared" si="1"/>
        <v>0.49447916666666669</v>
      </c>
      <c r="Q15" s="179">
        <f t="shared" si="1"/>
        <v>0.12914285714285714</v>
      </c>
      <c r="R15" s="179">
        <f t="shared" si="1"/>
        <v>0.56999999999999995</v>
      </c>
      <c r="S15" s="179">
        <f t="shared" si="1"/>
        <v>0.40970999999999996</v>
      </c>
      <c r="T15" s="179">
        <f t="shared" si="1"/>
        <v>0.32294444444444448</v>
      </c>
    </row>
    <row r="16" spans="2:20" s="176" customFormat="1" ht="18" customHeight="1" x14ac:dyDescent="0.3">
      <c r="B16" s="355" t="s">
        <v>227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</row>
    <row r="17" spans="2:20" s="176" customFormat="1" ht="17.25" customHeight="1" x14ac:dyDescent="0.3">
      <c r="B17" s="177" t="s">
        <v>228</v>
      </c>
      <c r="C17" s="352" t="s">
        <v>229</v>
      </c>
      <c r="D17" s="352"/>
      <c r="E17" s="177">
        <v>100</v>
      </c>
      <c r="F17" s="177">
        <v>1.71</v>
      </c>
      <c r="G17" s="177">
        <v>5</v>
      </c>
      <c r="H17" s="177">
        <v>8.4600000000000009</v>
      </c>
      <c r="I17" s="177">
        <v>85.7</v>
      </c>
      <c r="J17" s="177">
        <v>0.02</v>
      </c>
      <c r="K17" s="177">
        <v>0.03</v>
      </c>
      <c r="L17" s="177">
        <v>19.809999999999999</v>
      </c>
      <c r="M17" s="177">
        <v>0.02</v>
      </c>
      <c r="N17" s="177"/>
      <c r="O17" s="177">
        <v>52.24</v>
      </c>
      <c r="P17" s="177">
        <v>33.950000000000003</v>
      </c>
      <c r="Q17" s="177"/>
      <c r="R17" s="177">
        <v>0</v>
      </c>
      <c r="S17" s="177">
        <v>16.010000000000002</v>
      </c>
      <c r="T17" s="177">
        <v>0.67</v>
      </c>
    </row>
    <row r="18" spans="2:20" s="176" customFormat="1" ht="28.5" customHeight="1" x14ac:dyDescent="0.3">
      <c r="B18" s="177">
        <v>45</v>
      </c>
      <c r="C18" s="352" t="s">
        <v>230</v>
      </c>
      <c r="D18" s="352"/>
      <c r="E18" s="177">
        <v>100</v>
      </c>
      <c r="F18" s="177">
        <v>1.5</v>
      </c>
      <c r="G18" s="177">
        <v>2.1829999999999998</v>
      </c>
      <c r="H18" s="177">
        <v>9.33</v>
      </c>
      <c r="I18" s="177">
        <v>62.982999999999997</v>
      </c>
      <c r="J18" s="177">
        <v>0.1</v>
      </c>
      <c r="K18" s="177">
        <v>0.11700000000000001</v>
      </c>
      <c r="L18" s="177">
        <v>25.832999999999998</v>
      </c>
      <c r="M18" s="177">
        <v>0.11799999999999999</v>
      </c>
      <c r="N18" s="177">
        <v>0.5</v>
      </c>
      <c r="O18" s="177">
        <v>47</v>
      </c>
      <c r="P18" s="177">
        <v>31.5</v>
      </c>
      <c r="Q18" s="177">
        <v>0.33</v>
      </c>
      <c r="R18" s="177">
        <v>2E-3</v>
      </c>
      <c r="S18" s="177">
        <v>17.5</v>
      </c>
      <c r="T18" s="177">
        <v>1</v>
      </c>
    </row>
    <row r="19" spans="2:20" s="176" customFormat="1" ht="18" customHeight="1" x14ac:dyDescent="0.3">
      <c r="B19" s="177">
        <v>102</v>
      </c>
      <c r="C19" s="352" t="s">
        <v>231</v>
      </c>
      <c r="D19" s="352"/>
      <c r="E19" s="177" t="s">
        <v>348</v>
      </c>
      <c r="F19" s="177">
        <v>5.49</v>
      </c>
      <c r="G19" s="177">
        <v>5.28</v>
      </c>
      <c r="H19" s="177">
        <v>16.329999999999998</v>
      </c>
      <c r="I19" s="177">
        <v>134.75</v>
      </c>
      <c r="J19" s="177">
        <v>0.23</v>
      </c>
      <c r="K19" s="177"/>
      <c r="L19" s="177"/>
      <c r="M19" s="177"/>
      <c r="N19" s="177"/>
      <c r="O19" s="177">
        <v>38.08</v>
      </c>
      <c r="P19" s="177"/>
      <c r="Q19" s="177"/>
      <c r="R19" s="177"/>
      <c r="S19" s="177">
        <v>35.299999999999997</v>
      </c>
      <c r="T19" s="177">
        <v>2.0299999999999998</v>
      </c>
    </row>
    <row r="20" spans="2:20" s="176" customFormat="1" ht="18" customHeight="1" x14ac:dyDescent="0.3">
      <c r="B20" s="177">
        <v>260</v>
      </c>
      <c r="C20" s="352" t="s">
        <v>232</v>
      </c>
      <c r="D20" s="352"/>
      <c r="E20" s="177">
        <v>100</v>
      </c>
      <c r="F20" s="177">
        <v>12.55</v>
      </c>
      <c r="G20" s="177">
        <v>12.99</v>
      </c>
      <c r="H20" s="177">
        <v>4.01</v>
      </c>
      <c r="I20" s="177">
        <v>182.25</v>
      </c>
      <c r="J20" s="177">
        <v>7.0000000000000007E-2</v>
      </c>
      <c r="K20" s="177">
        <v>0.11</v>
      </c>
      <c r="L20" s="177">
        <v>5.07</v>
      </c>
      <c r="M20" s="177">
        <v>1.49</v>
      </c>
      <c r="N20" s="177">
        <v>2.25</v>
      </c>
      <c r="O20" s="177">
        <v>30.52</v>
      </c>
      <c r="P20" s="177">
        <v>119.19</v>
      </c>
      <c r="Q20" s="177"/>
      <c r="R20" s="177"/>
      <c r="S20" s="177">
        <v>24.03</v>
      </c>
      <c r="T20" s="177">
        <v>2.1</v>
      </c>
    </row>
    <row r="21" spans="2:20" s="176" customFormat="1" ht="29.25" customHeight="1" x14ac:dyDescent="0.3">
      <c r="B21" s="177">
        <v>203</v>
      </c>
      <c r="C21" s="352" t="s">
        <v>233</v>
      </c>
      <c r="D21" s="352"/>
      <c r="E21" s="177">
        <v>180</v>
      </c>
      <c r="F21" s="177">
        <v>6.84</v>
      </c>
      <c r="G21" s="177">
        <v>4.1159999999999997</v>
      </c>
      <c r="H21" s="177">
        <v>43.74</v>
      </c>
      <c r="I21" s="177">
        <v>239.364</v>
      </c>
      <c r="J21" s="177">
        <v>0.108</v>
      </c>
      <c r="K21" s="177">
        <v>3.5999999999999997E-2</v>
      </c>
      <c r="L21" s="177">
        <v>0</v>
      </c>
      <c r="M21" s="177">
        <v>3.5999999999999997E-2</v>
      </c>
      <c r="N21" s="177">
        <v>1.5</v>
      </c>
      <c r="O21" s="177">
        <v>15.94</v>
      </c>
      <c r="P21" s="177">
        <v>55.45</v>
      </c>
      <c r="Q21" s="177">
        <v>0.94</v>
      </c>
      <c r="R21" s="177">
        <v>2E-3</v>
      </c>
      <c r="S21" s="177">
        <v>10.16</v>
      </c>
      <c r="T21" s="177">
        <v>1.03</v>
      </c>
    </row>
    <row r="22" spans="2:20" s="176" customFormat="1" ht="18" customHeight="1" x14ac:dyDescent="0.3">
      <c r="B22" s="177">
        <v>377</v>
      </c>
      <c r="C22" s="380" t="s">
        <v>149</v>
      </c>
      <c r="D22" s="381"/>
      <c r="E22" s="177" t="s">
        <v>234</v>
      </c>
      <c r="F22" s="177">
        <v>0.26</v>
      </c>
      <c r="G22" s="177">
        <v>0.06</v>
      </c>
      <c r="H22" s="177">
        <v>15.22</v>
      </c>
      <c r="I22" s="177">
        <v>62.5</v>
      </c>
      <c r="J22" s="177"/>
      <c r="K22" s="177">
        <v>0.01</v>
      </c>
      <c r="L22" s="177">
        <v>2.9</v>
      </c>
      <c r="M22" s="177">
        <v>0</v>
      </c>
      <c r="N22" s="177">
        <v>0.06</v>
      </c>
      <c r="O22" s="177">
        <v>8.0500000000000007</v>
      </c>
      <c r="P22" s="177">
        <v>9.7799999999999994</v>
      </c>
      <c r="Q22" s="177">
        <v>0.02</v>
      </c>
      <c r="R22" s="177">
        <v>0</v>
      </c>
      <c r="S22" s="177">
        <v>5.24</v>
      </c>
      <c r="T22" s="177">
        <v>0.87</v>
      </c>
    </row>
    <row r="23" spans="2:20" s="176" customFormat="1" ht="18" customHeight="1" x14ac:dyDescent="0.3">
      <c r="B23" s="177" t="s">
        <v>224</v>
      </c>
      <c r="C23" s="380" t="s">
        <v>235</v>
      </c>
      <c r="D23" s="381"/>
      <c r="E23" s="177">
        <v>40</v>
      </c>
      <c r="F23" s="177">
        <v>2.64</v>
      </c>
      <c r="G23" s="177">
        <v>0.48</v>
      </c>
      <c r="H23" s="177">
        <v>13.68</v>
      </c>
      <c r="I23" s="177">
        <v>69.599999999999994</v>
      </c>
      <c r="J23" s="177">
        <v>0.08</v>
      </c>
      <c r="K23" s="177">
        <v>0.04</v>
      </c>
      <c r="L23" s="177">
        <v>0</v>
      </c>
      <c r="M23" s="177">
        <v>0</v>
      </c>
      <c r="N23" s="177">
        <v>2.4</v>
      </c>
      <c r="O23" s="177">
        <v>14</v>
      </c>
      <c r="P23" s="177">
        <v>63.2</v>
      </c>
      <c r="Q23" s="177">
        <v>1.2</v>
      </c>
      <c r="R23" s="177">
        <v>1E-3</v>
      </c>
      <c r="S23" s="177">
        <v>9.4</v>
      </c>
      <c r="T23" s="177">
        <v>0.78</v>
      </c>
    </row>
    <row r="24" spans="2:20" s="176" customFormat="1" ht="18" customHeight="1" x14ac:dyDescent="0.3">
      <c r="B24" s="177" t="s">
        <v>224</v>
      </c>
      <c r="C24" s="380" t="s">
        <v>117</v>
      </c>
      <c r="D24" s="381"/>
      <c r="E24" s="177">
        <v>30</v>
      </c>
      <c r="F24" s="177">
        <v>1.52</v>
      </c>
      <c r="G24" s="177">
        <v>0.16</v>
      </c>
      <c r="H24" s="177">
        <v>9.84</v>
      </c>
      <c r="I24" s="177">
        <v>46.9</v>
      </c>
      <c r="J24" s="177">
        <v>0.02</v>
      </c>
      <c r="K24" s="177">
        <v>0.01</v>
      </c>
      <c r="L24" s="177">
        <v>0.44</v>
      </c>
      <c r="M24" s="177">
        <v>0</v>
      </c>
      <c r="N24" s="177">
        <v>0.7</v>
      </c>
      <c r="O24" s="177">
        <v>4</v>
      </c>
      <c r="P24" s="177">
        <v>13</v>
      </c>
      <c r="Q24" s="177">
        <v>8.0000000000000002E-3</v>
      </c>
      <c r="R24" s="177">
        <v>1E-3</v>
      </c>
      <c r="S24" s="177">
        <v>0</v>
      </c>
      <c r="T24" s="177">
        <v>0.22</v>
      </c>
    </row>
    <row r="25" spans="2:20" s="176" customFormat="1" ht="27.75" customHeight="1" x14ac:dyDescent="0.3">
      <c r="B25" s="375" t="s">
        <v>236</v>
      </c>
      <c r="C25" s="376"/>
      <c r="D25" s="377"/>
      <c r="E25" s="178">
        <f>E18+E20+E21+E23+E24+260+204</f>
        <v>914</v>
      </c>
      <c r="F25" s="178">
        <f>SUM(F18:F24)</f>
        <v>30.8</v>
      </c>
      <c r="G25" s="178">
        <f t="shared" ref="G25:T25" si="2">SUM(G18:G24)</f>
        <v>25.268999999999998</v>
      </c>
      <c r="H25" s="178">
        <f t="shared" si="2"/>
        <v>112.15</v>
      </c>
      <c r="I25" s="178">
        <f t="shared" si="2"/>
        <v>798.34699999999998</v>
      </c>
      <c r="J25" s="178">
        <f t="shared" si="2"/>
        <v>0.60799999999999998</v>
      </c>
      <c r="K25" s="178">
        <f t="shared" si="2"/>
        <v>0.32300000000000001</v>
      </c>
      <c r="L25" s="178">
        <f t="shared" si="2"/>
        <v>34.242999999999995</v>
      </c>
      <c r="M25" s="178">
        <f t="shared" si="2"/>
        <v>1.6440000000000001</v>
      </c>
      <c r="N25" s="178">
        <f t="shared" si="2"/>
        <v>7.4099999999999993</v>
      </c>
      <c r="O25" s="178">
        <f t="shared" si="2"/>
        <v>157.59</v>
      </c>
      <c r="P25" s="178">
        <f t="shared" si="2"/>
        <v>292.12</v>
      </c>
      <c r="Q25" s="178">
        <f t="shared" si="2"/>
        <v>2.4980000000000002</v>
      </c>
      <c r="R25" s="178">
        <f t="shared" si="2"/>
        <v>6.0000000000000001E-3</v>
      </c>
      <c r="S25" s="178">
        <f t="shared" si="2"/>
        <v>101.63</v>
      </c>
      <c r="T25" s="178">
        <f t="shared" si="2"/>
        <v>8.0300000000000011</v>
      </c>
    </row>
    <row r="26" spans="2:20" s="176" customFormat="1" ht="18" customHeight="1" x14ac:dyDescent="0.3">
      <c r="B26" s="350" t="s">
        <v>226</v>
      </c>
      <c r="C26" s="350"/>
      <c r="D26" s="350"/>
      <c r="E26" s="350"/>
      <c r="F26" s="179">
        <f t="shared" ref="F26:T26" si="3">F25/F33</f>
        <v>0.34222222222222221</v>
      </c>
      <c r="G26" s="179">
        <f t="shared" si="3"/>
        <v>0.27466304347826087</v>
      </c>
      <c r="H26" s="179">
        <f t="shared" si="3"/>
        <v>0.29281984334203659</v>
      </c>
      <c r="I26" s="179">
        <f t="shared" si="3"/>
        <v>0.29350992647058821</v>
      </c>
      <c r="J26" s="179">
        <f t="shared" si="3"/>
        <v>0.43428571428571427</v>
      </c>
      <c r="K26" s="179">
        <f t="shared" si="3"/>
        <v>0.201875</v>
      </c>
      <c r="L26" s="179">
        <f t="shared" si="3"/>
        <v>0.48918571428571422</v>
      </c>
      <c r="M26" s="179">
        <f t="shared" si="3"/>
        <v>1.8266666666666667</v>
      </c>
      <c r="N26" s="179">
        <f t="shared" si="3"/>
        <v>0.61749999999999994</v>
      </c>
      <c r="O26" s="179">
        <f t="shared" si="3"/>
        <v>0.131325</v>
      </c>
      <c r="P26" s="179">
        <f t="shared" si="3"/>
        <v>0.24343333333333333</v>
      </c>
      <c r="Q26" s="179">
        <f t="shared" si="3"/>
        <v>0.17842857142857144</v>
      </c>
      <c r="R26" s="179">
        <f t="shared" si="3"/>
        <v>0.06</v>
      </c>
      <c r="S26" s="179">
        <f t="shared" si="3"/>
        <v>0.33876666666666666</v>
      </c>
      <c r="T26" s="179">
        <f t="shared" si="3"/>
        <v>0.44611111111111118</v>
      </c>
    </row>
    <row r="27" spans="2:20" s="176" customFormat="1" ht="18" customHeight="1" x14ac:dyDescent="0.3">
      <c r="B27" s="355" t="s">
        <v>237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</row>
    <row r="28" spans="2:20" s="176" customFormat="1" ht="18" customHeight="1" x14ac:dyDescent="0.3">
      <c r="B28" s="177" t="s">
        <v>224</v>
      </c>
      <c r="C28" s="352" t="s">
        <v>238</v>
      </c>
      <c r="D28" s="352"/>
      <c r="E28" s="177">
        <v>100</v>
      </c>
      <c r="F28" s="177">
        <v>7.86</v>
      </c>
      <c r="G28" s="177">
        <v>5.57</v>
      </c>
      <c r="H28" s="177">
        <v>53.71</v>
      </c>
      <c r="I28" s="177">
        <v>297.14</v>
      </c>
      <c r="J28" s="177">
        <v>0.1</v>
      </c>
      <c r="K28" s="177">
        <v>0.04</v>
      </c>
      <c r="L28" s="177">
        <v>0</v>
      </c>
      <c r="M28" s="177">
        <v>0.1</v>
      </c>
      <c r="N28" s="177"/>
      <c r="O28" s="177">
        <v>16.170000000000002</v>
      </c>
      <c r="P28" s="177">
        <v>0</v>
      </c>
      <c r="Q28" s="177">
        <v>0</v>
      </c>
      <c r="R28" s="177">
        <v>0</v>
      </c>
      <c r="S28" s="177">
        <v>11.19</v>
      </c>
      <c r="T28" s="177">
        <v>0.9</v>
      </c>
    </row>
    <row r="29" spans="2:20" s="176" customFormat="1" ht="25.5" customHeight="1" x14ac:dyDescent="0.3">
      <c r="B29" s="173">
        <v>349</v>
      </c>
      <c r="C29" s="359" t="s">
        <v>239</v>
      </c>
      <c r="D29" s="359"/>
      <c r="E29" s="173">
        <v>200</v>
      </c>
      <c r="F29" s="173">
        <v>0.22</v>
      </c>
      <c r="G29" s="173">
        <v>0</v>
      </c>
      <c r="H29" s="173">
        <v>24.42</v>
      </c>
      <c r="I29" s="173">
        <v>98.56</v>
      </c>
      <c r="J29" s="173"/>
      <c r="K29" s="173"/>
      <c r="L29" s="173">
        <v>0.2</v>
      </c>
      <c r="M29" s="173"/>
      <c r="N29" s="173"/>
      <c r="O29" s="173">
        <v>22.6</v>
      </c>
      <c r="P29" s="173">
        <v>7.7</v>
      </c>
      <c r="Q29" s="173">
        <v>0</v>
      </c>
      <c r="R29" s="173">
        <v>0</v>
      </c>
      <c r="S29" s="173">
        <v>3</v>
      </c>
      <c r="T29" s="173">
        <v>0.66</v>
      </c>
    </row>
    <row r="30" spans="2:20" s="176" customFormat="1" ht="18" customHeight="1" x14ac:dyDescent="0.3">
      <c r="B30" s="356" t="s">
        <v>240</v>
      </c>
      <c r="C30" s="357"/>
      <c r="D30" s="358"/>
      <c r="E30" s="178">
        <f>E28+E29</f>
        <v>300</v>
      </c>
      <c r="F30" s="178">
        <f t="shared" ref="F30:T30" si="4">F28+F29</f>
        <v>8.08</v>
      </c>
      <c r="G30" s="178">
        <f t="shared" si="4"/>
        <v>5.57</v>
      </c>
      <c r="H30" s="178">
        <f t="shared" si="4"/>
        <v>78.13</v>
      </c>
      <c r="I30" s="178">
        <f t="shared" si="4"/>
        <v>395.7</v>
      </c>
      <c r="J30" s="178">
        <f t="shared" si="4"/>
        <v>0.1</v>
      </c>
      <c r="K30" s="178">
        <f t="shared" si="4"/>
        <v>0.04</v>
      </c>
      <c r="L30" s="178">
        <f t="shared" si="4"/>
        <v>0.2</v>
      </c>
      <c r="M30" s="178">
        <f t="shared" si="4"/>
        <v>0.1</v>
      </c>
      <c r="N30" s="178">
        <f t="shared" si="4"/>
        <v>0</v>
      </c>
      <c r="O30" s="178">
        <f t="shared" si="4"/>
        <v>38.770000000000003</v>
      </c>
      <c r="P30" s="178">
        <f t="shared" si="4"/>
        <v>7.7</v>
      </c>
      <c r="Q30" s="178">
        <f t="shared" si="4"/>
        <v>0</v>
      </c>
      <c r="R30" s="178">
        <f t="shared" si="4"/>
        <v>0</v>
      </c>
      <c r="S30" s="178">
        <f t="shared" si="4"/>
        <v>14.19</v>
      </c>
      <c r="T30" s="178">
        <f t="shared" si="4"/>
        <v>1.56</v>
      </c>
    </row>
    <row r="31" spans="2:20" s="176" customFormat="1" ht="18" customHeight="1" x14ac:dyDescent="0.3">
      <c r="B31" s="350" t="s">
        <v>226</v>
      </c>
      <c r="C31" s="350"/>
      <c r="D31" s="350"/>
      <c r="E31" s="350"/>
      <c r="F31" s="179">
        <f>F30/F33</f>
        <v>8.9777777777777776E-2</v>
      </c>
      <c r="G31" s="179">
        <v>5.8000000000000003E-2</v>
      </c>
      <c r="H31" s="179">
        <v>0.122</v>
      </c>
      <c r="I31" s="179">
        <v>9.6000000000000002E-2</v>
      </c>
      <c r="J31" s="179">
        <v>5.7000000000000002E-2</v>
      </c>
      <c r="K31" s="179">
        <v>0.188</v>
      </c>
      <c r="L31" s="179">
        <v>0.66400000000000003</v>
      </c>
      <c r="M31" s="179">
        <v>8.8999999999999996E-2</v>
      </c>
      <c r="N31" s="179">
        <v>0.1</v>
      </c>
      <c r="O31" s="179">
        <v>0.23200000000000001</v>
      </c>
      <c r="P31" s="179">
        <v>0.17399999999999999</v>
      </c>
      <c r="Q31" s="179">
        <v>4.7E-2</v>
      </c>
      <c r="R31" s="179">
        <v>0.03</v>
      </c>
      <c r="S31" s="179">
        <v>0.14399999999999999</v>
      </c>
      <c r="T31" s="179">
        <v>0.122</v>
      </c>
    </row>
    <row r="32" spans="2:20" s="176" customFormat="1" ht="18" customHeight="1" x14ac:dyDescent="0.3">
      <c r="B32" s="350" t="s">
        <v>241</v>
      </c>
      <c r="C32" s="350"/>
      <c r="D32" s="350"/>
      <c r="E32" s="350"/>
      <c r="F32" s="178">
        <f>F14+F25+F30</f>
        <v>59.497999999999998</v>
      </c>
      <c r="G32" s="178">
        <f t="shared" ref="G32:T32" si="5">G14+G25+G30</f>
        <v>54.321999999999996</v>
      </c>
      <c r="H32" s="178">
        <f t="shared" si="5"/>
        <v>281.27999999999997</v>
      </c>
      <c r="I32" s="178">
        <f t="shared" si="5"/>
        <v>1844.4570000000001</v>
      </c>
      <c r="J32" s="178">
        <f t="shared" si="5"/>
        <v>1.133</v>
      </c>
      <c r="K32" s="178">
        <f t="shared" si="5"/>
        <v>0.71300000000000008</v>
      </c>
      <c r="L32" s="178">
        <f t="shared" si="5"/>
        <v>48.688000000000002</v>
      </c>
      <c r="M32" s="178">
        <f t="shared" si="5"/>
        <v>1.9300000000000002</v>
      </c>
      <c r="N32" s="178">
        <f t="shared" si="5"/>
        <v>8.8099999999999987</v>
      </c>
      <c r="O32" s="178">
        <f t="shared" si="5"/>
        <v>677.18500000000006</v>
      </c>
      <c r="P32" s="178">
        <f t="shared" si="5"/>
        <v>893.19500000000005</v>
      </c>
      <c r="Q32" s="178">
        <f t="shared" si="5"/>
        <v>4.306</v>
      </c>
      <c r="R32" s="178">
        <f t="shared" si="5"/>
        <v>6.3E-2</v>
      </c>
      <c r="S32" s="178">
        <f t="shared" si="5"/>
        <v>238.733</v>
      </c>
      <c r="T32" s="178">
        <f t="shared" si="5"/>
        <v>15.403000000000002</v>
      </c>
    </row>
    <row r="33" spans="2:20" s="176" customFormat="1" ht="18" customHeight="1" x14ac:dyDescent="0.3">
      <c r="B33" s="350" t="s">
        <v>242</v>
      </c>
      <c r="C33" s="350"/>
      <c r="D33" s="350"/>
      <c r="E33" s="350"/>
      <c r="F33" s="177">
        <v>90</v>
      </c>
      <c r="G33" s="177">
        <v>92</v>
      </c>
      <c r="H33" s="177">
        <v>383</v>
      </c>
      <c r="I33" s="177">
        <v>2720</v>
      </c>
      <c r="J33" s="177">
        <v>1.4</v>
      </c>
      <c r="K33" s="177">
        <v>1.6</v>
      </c>
      <c r="L33" s="177">
        <v>70</v>
      </c>
      <c r="M33" s="177">
        <v>0.9</v>
      </c>
      <c r="N33" s="177">
        <v>12</v>
      </c>
      <c r="O33" s="177">
        <v>1200</v>
      </c>
      <c r="P33" s="177">
        <v>1200</v>
      </c>
      <c r="Q33" s="177">
        <v>14</v>
      </c>
      <c r="R33" s="177">
        <v>0.1</v>
      </c>
      <c r="S33" s="177">
        <v>300</v>
      </c>
      <c r="T33" s="177">
        <v>18</v>
      </c>
    </row>
    <row r="34" spans="2:20" s="176" customFormat="1" ht="18" customHeight="1" x14ac:dyDescent="0.3">
      <c r="B34" s="350" t="s">
        <v>226</v>
      </c>
      <c r="C34" s="350"/>
      <c r="D34" s="350"/>
      <c r="E34" s="350"/>
      <c r="F34" s="179">
        <f>F32/F33</f>
        <v>0.66108888888888884</v>
      </c>
      <c r="G34" s="179">
        <f t="shared" ref="G34:T34" si="6">G32/G33</f>
        <v>0.59045652173913044</v>
      </c>
      <c r="H34" s="179">
        <f t="shared" si="6"/>
        <v>0.73441253263707562</v>
      </c>
      <c r="I34" s="179">
        <f t="shared" si="6"/>
        <v>0.67810919117647062</v>
      </c>
      <c r="J34" s="179">
        <f t="shared" si="6"/>
        <v>0.80928571428571439</v>
      </c>
      <c r="K34" s="179">
        <f t="shared" si="6"/>
        <v>0.44562500000000005</v>
      </c>
      <c r="L34" s="179">
        <f t="shared" si="6"/>
        <v>0.69554285714285713</v>
      </c>
      <c r="M34" s="179">
        <f t="shared" si="6"/>
        <v>2.1444444444444444</v>
      </c>
      <c r="N34" s="179">
        <f t="shared" si="6"/>
        <v>0.73416666666666652</v>
      </c>
      <c r="O34" s="179">
        <f t="shared" si="6"/>
        <v>0.56432083333333338</v>
      </c>
      <c r="P34" s="179">
        <f t="shared" si="6"/>
        <v>0.74432916666666671</v>
      </c>
      <c r="Q34" s="179">
        <f t="shared" si="6"/>
        <v>0.30757142857142855</v>
      </c>
      <c r="R34" s="179">
        <f t="shared" si="6"/>
        <v>0.63</v>
      </c>
      <c r="S34" s="179">
        <f t="shared" si="6"/>
        <v>0.79577666666666669</v>
      </c>
      <c r="T34" s="179">
        <f t="shared" si="6"/>
        <v>0.85572222222222238</v>
      </c>
    </row>
    <row r="35" spans="2:20" s="176" customFormat="1" ht="18" customHeight="1" x14ac:dyDescent="0.3">
      <c r="B35" s="253"/>
      <c r="C35" s="177"/>
      <c r="D35" s="177"/>
      <c r="E35" s="177"/>
      <c r="F35" s="254"/>
      <c r="G35" s="177"/>
      <c r="H35" s="177"/>
      <c r="I35" s="177"/>
      <c r="J35" s="177"/>
      <c r="K35" s="177"/>
      <c r="L35" s="177"/>
      <c r="M35" s="372" t="s">
        <v>187</v>
      </c>
      <c r="N35" s="372"/>
      <c r="O35" s="372"/>
      <c r="P35" s="372"/>
      <c r="Q35" s="372"/>
      <c r="R35" s="372"/>
      <c r="S35" s="372"/>
      <c r="T35" s="372"/>
    </row>
    <row r="36" spans="2:20" s="176" customFormat="1" ht="18" customHeight="1" x14ac:dyDescent="0.3">
      <c r="B36" s="355" t="s">
        <v>243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</row>
    <row r="37" spans="2:20" s="176" customFormat="1" ht="18" customHeight="1" x14ac:dyDescent="0.3">
      <c r="B37" s="350" t="s">
        <v>189</v>
      </c>
      <c r="C37" s="350"/>
      <c r="D37" s="177"/>
      <c r="E37" s="177"/>
      <c r="F37" s="177"/>
      <c r="G37" s="372" t="s">
        <v>244</v>
      </c>
      <c r="H37" s="372"/>
      <c r="I37" s="372"/>
      <c r="J37" s="177"/>
      <c r="K37" s="177"/>
      <c r="L37" s="350" t="s">
        <v>191</v>
      </c>
      <c r="M37" s="350"/>
      <c r="N37" s="372" t="s">
        <v>192</v>
      </c>
      <c r="O37" s="372"/>
      <c r="P37" s="372"/>
      <c r="Q37" s="372"/>
      <c r="R37" s="177"/>
      <c r="S37" s="177"/>
      <c r="T37" s="177"/>
    </row>
    <row r="38" spans="2:20" s="176" customFormat="1" ht="18" customHeight="1" x14ac:dyDescent="0.3">
      <c r="B38" s="177"/>
      <c r="C38" s="177"/>
      <c r="D38" s="177"/>
      <c r="E38" s="355" t="s">
        <v>194</v>
      </c>
      <c r="F38" s="355"/>
      <c r="G38" s="177">
        <v>1</v>
      </c>
      <c r="H38" s="177"/>
      <c r="I38" s="177"/>
      <c r="J38" s="177"/>
      <c r="K38" s="177"/>
      <c r="L38" s="350" t="s">
        <v>195</v>
      </c>
      <c r="M38" s="350"/>
      <c r="N38" s="372" t="s">
        <v>347</v>
      </c>
      <c r="O38" s="372"/>
      <c r="P38" s="372"/>
      <c r="Q38" s="372"/>
      <c r="R38" s="372"/>
      <c r="S38" s="372"/>
      <c r="T38" s="372"/>
    </row>
    <row r="39" spans="2:20" s="176" customFormat="1" ht="18" customHeight="1" x14ac:dyDescent="0.3">
      <c r="B39" s="255" t="s">
        <v>0</v>
      </c>
      <c r="C39" s="378" t="s">
        <v>198</v>
      </c>
      <c r="D39" s="378"/>
      <c r="E39" s="378" t="s">
        <v>199</v>
      </c>
      <c r="F39" s="378" t="s">
        <v>200</v>
      </c>
      <c r="G39" s="378"/>
      <c r="H39" s="378"/>
      <c r="I39" s="255" t="s">
        <v>201</v>
      </c>
      <c r="J39" s="378" t="s">
        <v>202</v>
      </c>
      <c r="K39" s="378"/>
      <c r="L39" s="378"/>
      <c r="M39" s="378"/>
      <c r="N39" s="378"/>
      <c r="O39" s="378" t="s">
        <v>203</v>
      </c>
      <c r="P39" s="378"/>
      <c r="Q39" s="378"/>
      <c r="R39" s="378"/>
      <c r="S39" s="378"/>
      <c r="T39" s="378"/>
    </row>
    <row r="40" spans="2:20" s="176" customFormat="1" ht="18" customHeight="1" x14ac:dyDescent="0.3">
      <c r="B40" s="255" t="s">
        <v>245</v>
      </c>
      <c r="C40" s="378"/>
      <c r="D40" s="378"/>
      <c r="E40" s="378"/>
      <c r="F40" s="255" t="s">
        <v>204</v>
      </c>
      <c r="G40" s="255" t="s">
        <v>205</v>
      </c>
      <c r="H40" s="255" t="s">
        <v>206</v>
      </c>
      <c r="I40" s="255" t="s">
        <v>207</v>
      </c>
      <c r="J40" s="255" t="s">
        <v>208</v>
      </c>
      <c r="K40" s="255" t="s">
        <v>209</v>
      </c>
      <c r="L40" s="255" t="s">
        <v>210</v>
      </c>
      <c r="M40" s="255" t="s">
        <v>211</v>
      </c>
      <c r="N40" s="255" t="s">
        <v>212</v>
      </c>
      <c r="O40" s="255" t="s">
        <v>213</v>
      </c>
      <c r="P40" s="255" t="s">
        <v>214</v>
      </c>
      <c r="Q40" s="255" t="s">
        <v>215</v>
      </c>
      <c r="R40" s="255" t="s">
        <v>216</v>
      </c>
      <c r="S40" s="255" t="s">
        <v>217</v>
      </c>
      <c r="T40" s="255" t="s">
        <v>218</v>
      </c>
    </row>
    <row r="41" spans="2:20" s="176" customFormat="1" ht="18" customHeight="1" x14ac:dyDescent="0.3">
      <c r="B41" s="183">
        <v>1</v>
      </c>
      <c r="C41" s="373">
        <v>2</v>
      </c>
      <c r="D41" s="373"/>
      <c r="E41" s="183">
        <v>3</v>
      </c>
      <c r="F41" s="183">
        <v>4</v>
      </c>
      <c r="G41" s="183">
        <v>5</v>
      </c>
      <c r="H41" s="183">
        <v>6</v>
      </c>
      <c r="I41" s="183">
        <v>7</v>
      </c>
      <c r="J41" s="183">
        <v>8</v>
      </c>
      <c r="K41" s="183">
        <v>9</v>
      </c>
      <c r="L41" s="183">
        <v>10</v>
      </c>
      <c r="M41" s="183">
        <v>11</v>
      </c>
      <c r="N41" s="183">
        <v>12</v>
      </c>
      <c r="O41" s="183">
        <v>13</v>
      </c>
      <c r="P41" s="183">
        <v>14</v>
      </c>
      <c r="Q41" s="183">
        <v>15</v>
      </c>
      <c r="R41" s="183">
        <v>16</v>
      </c>
      <c r="S41" s="183">
        <v>17</v>
      </c>
      <c r="T41" s="183">
        <v>18</v>
      </c>
    </row>
    <row r="42" spans="2:20" s="176" customFormat="1" ht="18" customHeight="1" x14ac:dyDescent="0.3">
      <c r="B42" s="355" t="s">
        <v>246</v>
      </c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</row>
    <row r="43" spans="2:20" s="176" customFormat="1" ht="30" customHeight="1" x14ac:dyDescent="0.3">
      <c r="B43" s="240" t="s">
        <v>340</v>
      </c>
      <c r="C43" s="351" t="s">
        <v>339</v>
      </c>
      <c r="D43" s="351"/>
      <c r="E43" s="177">
        <v>40</v>
      </c>
      <c r="F43" s="241">
        <v>1.1200000000000001</v>
      </c>
      <c r="G43" s="241">
        <v>0</v>
      </c>
      <c r="H43" s="241">
        <v>0.52</v>
      </c>
      <c r="I43" s="240">
        <v>6.44</v>
      </c>
      <c r="J43" s="241">
        <v>0</v>
      </c>
      <c r="K43" s="241">
        <v>0</v>
      </c>
      <c r="L43" s="241">
        <v>0</v>
      </c>
      <c r="M43" s="241">
        <v>0</v>
      </c>
      <c r="N43" s="241">
        <v>0</v>
      </c>
      <c r="O43" s="241">
        <v>0</v>
      </c>
      <c r="P43" s="241">
        <v>0</v>
      </c>
      <c r="Q43" s="241">
        <v>0</v>
      </c>
      <c r="R43" s="241">
        <v>0</v>
      </c>
      <c r="S43" s="241">
        <v>0</v>
      </c>
      <c r="T43" s="241">
        <v>0</v>
      </c>
    </row>
    <row r="44" spans="2:20" s="176" customFormat="1" ht="30.75" customHeight="1" x14ac:dyDescent="0.3">
      <c r="B44" s="184">
        <v>71</v>
      </c>
      <c r="C44" s="352" t="s">
        <v>338</v>
      </c>
      <c r="D44" s="352"/>
      <c r="E44" s="184">
        <v>40</v>
      </c>
      <c r="F44" s="184">
        <v>0.33</v>
      </c>
      <c r="G44" s="184">
        <v>0.04</v>
      </c>
      <c r="H44" s="184">
        <v>1.1299999999999999</v>
      </c>
      <c r="I44" s="184">
        <v>6.23</v>
      </c>
      <c r="J44" s="184">
        <v>8.9999999999999993E-3</v>
      </c>
      <c r="K44" s="184">
        <v>0.01</v>
      </c>
      <c r="L44" s="184">
        <v>3</v>
      </c>
      <c r="M44" s="184">
        <v>3.0000000000000001E-3</v>
      </c>
      <c r="N44" s="184">
        <v>0.03</v>
      </c>
      <c r="O44" s="184">
        <v>6.9</v>
      </c>
      <c r="P44" s="184">
        <v>12.6</v>
      </c>
      <c r="Q44" s="184">
        <v>6.4000000000000001E-2</v>
      </c>
      <c r="R44" s="184">
        <v>1E-3</v>
      </c>
      <c r="S44" s="184">
        <v>4.2</v>
      </c>
      <c r="T44" s="184">
        <v>0.18</v>
      </c>
    </row>
    <row r="45" spans="2:20" s="176" customFormat="1" ht="27" customHeight="1" x14ac:dyDescent="0.3">
      <c r="B45" s="198" t="s">
        <v>248</v>
      </c>
      <c r="C45" s="359" t="s">
        <v>114</v>
      </c>
      <c r="D45" s="359"/>
      <c r="E45" s="184">
        <v>100</v>
      </c>
      <c r="F45" s="184">
        <v>11.4</v>
      </c>
      <c r="G45" s="184">
        <v>11.2</v>
      </c>
      <c r="H45" s="184">
        <v>13.5</v>
      </c>
      <c r="I45" s="184">
        <v>202</v>
      </c>
      <c r="J45" s="184">
        <v>0.08</v>
      </c>
      <c r="K45" s="184">
        <v>0.13</v>
      </c>
      <c r="L45" s="184">
        <v>1</v>
      </c>
      <c r="M45" s="184">
        <v>0.08</v>
      </c>
      <c r="N45" s="184"/>
      <c r="O45" s="184">
        <v>32</v>
      </c>
      <c r="P45" s="184">
        <v>0</v>
      </c>
      <c r="Q45" s="184"/>
      <c r="R45" s="184">
        <v>0</v>
      </c>
      <c r="S45" s="184">
        <v>26.1</v>
      </c>
      <c r="T45" s="184">
        <v>1.19</v>
      </c>
    </row>
    <row r="46" spans="2:20" s="176" customFormat="1" ht="27" customHeight="1" x14ac:dyDescent="0.3">
      <c r="B46" s="177">
        <v>304</v>
      </c>
      <c r="C46" s="352" t="s">
        <v>249</v>
      </c>
      <c r="D46" s="352"/>
      <c r="E46" s="177">
        <v>180</v>
      </c>
      <c r="F46" s="177">
        <v>4.4400000000000004</v>
      </c>
      <c r="G46" s="177">
        <v>6.44</v>
      </c>
      <c r="H46" s="177">
        <v>44.02</v>
      </c>
      <c r="I46" s="177">
        <v>251.82</v>
      </c>
      <c r="J46" s="177">
        <v>0.04</v>
      </c>
      <c r="K46" s="177">
        <v>0.02</v>
      </c>
      <c r="L46" s="177">
        <v>0</v>
      </c>
      <c r="M46" s="177">
        <v>0.05</v>
      </c>
      <c r="N46" s="177">
        <v>0</v>
      </c>
      <c r="O46" s="177">
        <v>17.899999999999999</v>
      </c>
      <c r="P46" s="177">
        <v>95.3</v>
      </c>
      <c r="Q46" s="177">
        <v>0</v>
      </c>
      <c r="R46" s="177">
        <v>1.1999999999999999E-3</v>
      </c>
      <c r="S46" s="177">
        <v>33.5</v>
      </c>
      <c r="T46" s="177">
        <v>0.71</v>
      </c>
    </row>
    <row r="47" spans="2:20" s="176" customFormat="1" ht="18" customHeight="1" x14ac:dyDescent="0.3">
      <c r="B47" s="177">
        <v>379</v>
      </c>
      <c r="C47" s="352" t="s">
        <v>250</v>
      </c>
      <c r="D47" s="352"/>
      <c r="E47" s="177">
        <v>200</v>
      </c>
      <c r="F47" s="177">
        <v>3.17</v>
      </c>
      <c r="G47" s="177">
        <v>2.68</v>
      </c>
      <c r="H47" s="177">
        <v>15.95</v>
      </c>
      <c r="I47" s="177">
        <v>100.6</v>
      </c>
      <c r="J47" s="177">
        <v>0.04</v>
      </c>
      <c r="K47" s="177">
        <v>0.15</v>
      </c>
      <c r="L47" s="177">
        <v>1.3</v>
      </c>
      <c r="M47" s="177">
        <v>0.03</v>
      </c>
      <c r="N47" s="177">
        <v>0.06</v>
      </c>
      <c r="O47" s="177">
        <v>120.4</v>
      </c>
      <c r="P47" s="177">
        <v>90</v>
      </c>
      <c r="Q47" s="177">
        <v>1.1000000000000001</v>
      </c>
      <c r="R47" s="177">
        <v>0.01</v>
      </c>
      <c r="S47" s="177">
        <v>14</v>
      </c>
      <c r="T47" s="177">
        <v>0.12</v>
      </c>
    </row>
    <row r="48" spans="2:20" s="176" customFormat="1" ht="18" customHeight="1" x14ac:dyDescent="0.3">
      <c r="B48" s="177">
        <v>0.08</v>
      </c>
      <c r="C48" s="352" t="s">
        <v>161</v>
      </c>
      <c r="D48" s="352"/>
      <c r="E48" s="177">
        <v>40</v>
      </c>
      <c r="F48" s="177">
        <v>3.04</v>
      </c>
      <c r="G48" s="177">
        <v>0.32</v>
      </c>
      <c r="H48" s="177">
        <v>19.68</v>
      </c>
      <c r="I48" s="177">
        <v>93.8</v>
      </c>
      <c r="J48" s="177">
        <v>0.04</v>
      </c>
      <c r="K48" s="177">
        <v>0.01</v>
      </c>
      <c r="L48" s="177">
        <v>0.88</v>
      </c>
      <c r="M48" s="177">
        <v>0</v>
      </c>
      <c r="N48" s="177">
        <v>0.7</v>
      </c>
      <c r="O48" s="177">
        <v>8</v>
      </c>
      <c r="P48" s="177">
        <v>26</v>
      </c>
      <c r="Q48" s="177">
        <v>8.0000000000000002E-3</v>
      </c>
      <c r="R48" s="177">
        <v>3.0000000000000001E-3</v>
      </c>
      <c r="S48" s="177">
        <v>0</v>
      </c>
      <c r="T48" s="177">
        <v>0.44</v>
      </c>
    </row>
    <row r="49" spans="2:20" s="176" customFormat="1" ht="18" customHeight="1" x14ac:dyDescent="0.3">
      <c r="B49" s="356" t="s">
        <v>251</v>
      </c>
      <c r="C49" s="357"/>
      <c r="D49" s="358"/>
      <c r="E49" s="178">
        <f>SUM(E44:E48)</f>
        <v>560</v>
      </c>
      <c r="F49" s="178">
        <f t="shared" ref="F49:T49" si="7">SUM(F44:F48)</f>
        <v>22.380000000000003</v>
      </c>
      <c r="G49" s="178">
        <f t="shared" si="7"/>
        <v>20.68</v>
      </c>
      <c r="H49" s="178">
        <f t="shared" si="7"/>
        <v>94.28</v>
      </c>
      <c r="I49" s="178">
        <f t="shared" si="7"/>
        <v>654.44999999999993</v>
      </c>
      <c r="J49" s="178">
        <f t="shared" si="7"/>
        <v>0.20900000000000002</v>
      </c>
      <c r="K49" s="178">
        <f t="shared" si="7"/>
        <v>0.32</v>
      </c>
      <c r="L49" s="178">
        <f t="shared" si="7"/>
        <v>6.18</v>
      </c>
      <c r="M49" s="178">
        <f t="shared" si="7"/>
        <v>0.16300000000000001</v>
      </c>
      <c r="N49" s="178">
        <f t="shared" si="7"/>
        <v>0.78999999999999992</v>
      </c>
      <c r="O49" s="178">
        <f t="shared" si="7"/>
        <v>185.2</v>
      </c>
      <c r="P49" s="178">
        <f t="shared" si="7"/>
        <v>223.89999999999998</v>
      </c>
      <c r="Q49" s="178">
        <f t="shared" si="7"/>
        <v>1.1720000000000002</v>
      </c>
      <c r="R49" s="178">
        <f t="shared" si="7"/>
        <v>1.5199999999999998E-2</v>
      </c>
      <c r="S49" s="178">
        <f t="shared" si="7"/>
        <v>77.8</v>
      </c>
      <c r="T49" s="178">
        <f t="shared" si="7"/>
        <v>2.64</v>
      </c>
    </row>
    <row r="50" spans="2:20" s="176" customFormat="1" ht="18" customHeight="1" x14ac:dyDescent="0.3">
      <c r="B50" s="350" t="s">
        <v>226</v>
      </c>
      <c r="C50" s="350"/>
      <c r="D50" s="350"/>
      <c r="E50" s="350"/>
      <c r="F50" s="179">
        <f t="shared" ref="F50:T50" si="8">F49/F67</f>
        <v>0.2486666666666667</v>
      </c>
      <c r="G50" s="179">
        <f t="shared" si="8"/>
        <v>0.22478260869565217</v>
      </c>
      <c r="H50" s="179">
        <f t="shared" si="8"/>
        <v>0.24616187989556135</v>
      </c>
      <c r="I50" s="179">
        <f t="shared" si="8"/>
        <v>0.24060661764705879</v>
      </c>
      <c r="J50" s="179">
        <f t="shared" si="8"/>
        <v>0.1492857142857143</v>
      </c>
      <c r="K50" s="179">
        <f t="shared" si="8"/>
        <v>0.19999999999999998</v>
      </c>
      <c r="L50" s="179">
        <f t="shared" si="8"/>
        <v>8.8285714285714287E-2</v>
      </c>
      <c r="M50" s="179">
        <f t="shared" si="8"/>
        <v>0.18111111111111111</v>
      </c>
      <c r="N50" s="179">
        <f t="shared" si="8"/>
        <v>6.5833333333333327E-2</v>
      </c>
      <c r="O50" s="179">
        <f t="shared" si="8"/>
        <v>0.15433333333333332</v>
      </c>
      <c r="P50" s="179">
        <f t="shared" si="8"/>
        <v>0.18658333333333332</v>
      </c>
      <c r="Q50" s="179">
        <f t="shared" si="8"/>
        <v>8.3714285714285727E-2</v>
      </c>
      <c r="R50" s="179">
        <f t="shared" si="8"/>
        <v>0.15199999999999997</v>
      </c>
      <c r="S50" s="179">
        <f t="shared" si="8"/>
        <v>0.2593333333333333</v>
      </c>
      <c r="T50" s="179">
        <f t="shared" si="8"/>
        <v>0.14666666666666667</v>
      </c>
    </row>
    <row r="51" spans="2:20" s="176" customFormat="1" ht="18" customHeight="1" x14ac:dyDescent="0.3">
      <c r="B51" s="355" t="s">
        <v>227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  <c r="T51" s="355"/>
    </row>
    <row r="52" spans="2:20" s="176" customFormat="1" ht="26.25" customHeight="1" x14ac:dyDescent="0.3">
      <c r="B52" s="177">
        <v>52</v>
      </c>
      <c r="C52" s="352" t="s">
        <v>252</v>
      </c>
      <c r="D52" s="352"/>
      <c r="E52" s="177">
        <v>100</v>
      </c>
      <c r="F52" s="177">
        <v>1.43</v>
      </c>
      <c r="G52" s="177">
        <v>5.08</v>
      </c>
      <c r="H52" s="177">
        <v>8.5500000000000007</v>
      </c>
      <c r="I52" s="177">
        <v>85.68</v>
      </c>
      <c r="J52" s="177">
        <v>0.02</v>
      </c>
      <c r="K52" s="177">
        <v>0.03</v>
      </c>
      <c r="L52" s="177">
        <v>9.5</v>
      </c>
      <c r="M52" s="177">
        <v>0.02</v>
      </c>
      <c r="N52" s="177">
        <v>0.17</v>
      </c>
      <c r="O52" s="177">
        <v>44.35</v>
      </c>
      <c r="P52" s="177">
        <v>42.73</v>
      </c>
      <c r="Q52" s="177">
        <v>0.72</v>
      </c>
      <c r="R52" s="177">
        <v>1.7000000000000001E-2</v>
      </c>
      <c r="S52" s="177">
        <v>21.5</v>
      </c>
      <c r="T52" s="177">
        <v>1.4</v>
      </c>
    </row>
    <row r="53" spans="2:20" s="176" customFormat="1" ht="27" customHeight="1" x14ac:dyDescent="0.3">
      <c r="B53" s="173">
        <v>101</v>
      </c>
      <c r="C53" s="359" t="s">
        <v>253</v>
      </c>
      <c r="D53" s="359"/>
      <c r="E53" s="177">
        <v>250</v>
      </c>
      <c r="F53" s="177">
        <v>2.95</v>
      </c>
      <c r="G53" s="177">
        <v>3.07</v>
      </c>
      <c r="H53" s="177">
        <v>18.47</v>
      </c>
      <c r="I53" s="177">
        <v>115.19</v>
      </c>
      <c r="J53" s="177">
        <v>0.12</v>
      </c>
      <c r="K53" s="177">
        <v>7.0000000000000007E-2</v>
      </c>
      <c r="L53" s="177">
        <v>6.6</v>
      </c>
      <c r="M53" s="177">
        <v>0.2</v>
      </c>
      <c r="N53" s="177">
        <v>1.88</v>
      </c>
      <c r="O53" s="177">
        <v>27.99</v>
      </c>
      <c r="P53" s="177">
        <v>77.209999999999994</v>
      </c>
      <c r="Q53" s="177"/>
      <c r="R53" s="177">
        <v>4.8799999999999998E-3</v>
      </c>
      <c r="S53" s="177">
        <v>40.090000000000003</v>
      </c>
      <c r="T53" s="177">
        <v>1.53</v>
      </c>
    </row>
    <row r="54" spans="2:20" s="176" customFormat="1" ht="18" customHeight="1" x14ac:dyDescent="0.3">
      <c r="B54" s="256" t="s">
        <v>254</v>
      </c>
      <c r="C54" s="359" t="s">
        <v>255</v>
      </c>
      <c r="D54" s="359"/>
      <c r="E54" s="177">
        <v>100</v>
      </c>
      <c r="F54" s="177">
        <v>9.67</v>
      </c>
      <c r="G54" s="177">
        <v>5.25</v>
      </c>
      <c r="H54" s="177">
        <v>4.08</v>
      </c>
      <c r="I54" s="177">
        <v>101.67</v>
      </c>
      <c r="J54" s="177"/>
      <c r="K54" s="177"/>
      <c r="L54" s="177">
        <v>2.2799999999999998</v>
      </c>
      <c r="M54" s="177"/>
      <c r="N54" s="177"/>
      <c r="O54" s="177">
        <v>39.86</v>
      </c>
      <c r="P54" s="177"/>
      <c r="Q54" s="177"/>
      <c r="R54" s="177"/>
      <c r="S54" s="177">
        <v>0</v>
      </c>
      <c r="T54" s="177">
        <v>0.78</v>
      </c>
    </row>
    <row r="55" spans="2:20" s="176" customFormat="1" ht="26.25" customHeight="1" x14ac:dyDescent="0.3">
      <c r="B55" s="177">
        <v>312</v>
      </c>
      <c r="C55" s="352" t="s">
        <v>256</v>
      </c>
      <c r="D55" s="352"/>
      <c r="E55" s="177">
        <v>180</v>
      </c>
      <c r="F55" s="177">
        <v>3.95</v>
      </c>
      <c r="G55" s="177">
        <v>8.4700000000000006</v>
      </c>
      <c r="H55" s="177">
        <v>26.65</v>
      </c>
      <c r="I55" s="177">
        <v>198.65</v>
      </c>
      <c r="J55" s="177">
        <v>0.19</v>
      </c>
      <c r="K55" s="177">
        <v>0.16</v>
      </c>
      <c r="L55" s="177">
        <v>31.33</v>
      </c>
      <c r="M55" s="177">
        <v>9.6000000000000002E-2</v>
      </c>
      <c r="N55" s="177">
        <v>1.8</v>
      </c>
      <c r="O55" s="177">
        <v>51.05</v>
      </c>
      <c r="P55" s="177">
        <v>117.3</v>
      </c>
      <c r="Q55" s="177">
        <v>0.35899999999999999</v>
      </c>
      <c r="R55" s="177">
        <v>1E-3</v>
      </c>
      <c r="S55" s="177">
        <v>39.67</v>
      </c>
      <c r="T55" s="177">
        <v>1.43</v>
      </c>
    </row>
    <row r="56" spans="2:20" s="176" customFormat="1" ht="25.5" customHeight="1" x14ac:dyDescent="0.3">
      <c r="B56" s="177">
        <v>349</v>
      </c>
      <c r="C56" s="352" t="s">
        <v>239</v>
      </c>
      <c r="D56" s="352"/>
      <c r="E56" s="177">
        <v>200</v>
      </c>
      <c r="F56" s="177">
        <v>0.22</v>
      </c>
      <c r="G56" s="177"/>
      <c r="H56" s="177">
        <v>24.42</v>
      </c>
      <c r="I56" s="177">
        <v>98.56</v>
      </c>
      <c r="J56" s="177"/>
      <c r="K56" s="177"/>
      <c r="L56" s="177">
        <v>0.2</v>
      </c>
      <c r="M56" s="177"/>
      <c r="N56" s="177"/>
      <c r="O56" s="177">
        <v>22.6</v>
      </c>
      <c r="P56" s="177">
        <v>7.7</v>
      </c>
      <c r="Q56" s="177">
        <v>0</v>
      </c>
      <c r="R56" s="177">
        <v>0</v>
      </c>
      <c r="S56" s="177">
        <v>3</v>
      </c>
      <c r="T56" s="177">
        <v>0.66</v>
      </c>
    </row>
    <row r="57" spans="2:20" s="176" customFormat="1" ht="18" customHeight="1" x14ac:dyDescent="0.3">
      <c r="B57" s="177" t="s">
        <v>224</v>
      </c>
      <c r="C57" s="352" t="s">
        <v>235</v>
      </c>
      <c r="D57" s="352"/>
      <c r="E57" s="177">
        <v>40</v>
      </c>
      <c r="F57" s="177">
        <v>2.64</v>
      </c>
      <c r="G57" s="177">
        <v>0.48</v>
      </c>
      <c r="H57" s="177">
        <v>13.68</v>
      </c>
      <c r="I57" s="177">
        <v>69.599999999999994</v>
      </c>
      <c r="J57" s="177">
        <v>0.08</v>
      </c>
      <c r="K57" s="177">
        <v>0.04</v>
      </c>
      <c r="L57" s="177">
        <v>0</v>
      </c>
      <c r="M57" s="177">
        <v>0</v>
      </c>
      <c r="N57" s="177">
        <v>2.4</v>
      </c>
      <c r="O57" s="177">
        <v>14</v>
      </c>
      <c r="P57" s="177">
        <v>63.2</v>
      </c>
      <c r="Q57" s="177">
        <v>1.2</v>
      </c>
      <c r="R57" s="177">
        <v>1E-3</v>
      </c>
      <c r="S57" s="177">
        <v>9.4</v>
      </c>
      <c r="T57" s="177">
        <v>0.78</v>
      </c>
    </row>
    <row r="58" spans="2:20" s="176" customFormat="1" ht="18" customHeight="1" x14ac:dyDescent="0.3">
      <c r="B58" s="177" t="s">
        <v>224</v>
      </c>
      <c r="C58" s="352" t="s">
        <v>117</v>
      </c>
      <c r="D58" s="352"/>
      <c r="E58" s="177">
        <v>30</v>
      </c>
      <c r="F58" s="177">
        <v>1.52</v>
      </c>
      <c r="G58" s="177">
        <v>0.16</v>
      </c>
      <c r="H58" s="177">
        <v>9.84</v>
      </c>
      <c r="I58" s="177">
        <v>46.9</v>
      </c>
      <c r="J58" s="177">
        <v>0.02</v>
      </c>
      <c r="K58" s="177">
        <v>0.01</v>
      </c>
      <c r="L58" s="177">
        <v>0.44</v>
      </c>
      <c r="M58" s="177">
        <v>0</v>
      </c>
      <c r="N58" s="177">
        <v>0.7</v>
      </c>
      <c r="O58" s="177">
        <v>4</v>
      </c>
      <c r="P58" s="177">
        <v>13</v>
      </c>
      <c r="Q58" s="177">
        <v>8.0000000000000002E-3</v>
      </c>
      <c r="R58" s="177">
        <v>1E-3</v>
      </c>
      <c r="S58" s="177">
        <v>0</v>
      </c>
      <c r="T58" s="177">
        <v>0.22</v>
      </c>
    </row>
    <row r="59" spans="2:20" s="176" customFormat="1" ht="28.5" customHeight="1" x14ac:dyDescent="0.3">
      <c r="B59" s="350" t="s">
        <v>236</v>
      </c>
      <c r="C59" s="350"/>
      <c r="D59" s="350"/>
      <c r="E59" s="178">
        <f>SUM(E52:E58)</f>
        <v>900</v>
      </c>
      <c r="F59" s="178">
        <f t="shared" ref="F59:T59" si="9">SUM(F52:F58)</f>
        <v>22.38</v>
      </c>
      <c r="G59" s="178">
        <f t="shared" si="9"/>
        <v>22.51</v>
      </c>
      <c r="H59" s="178">
        <f t="shared" si="9"/>
        <v>105.69</v>
      </c>
      <c r="I59" s="178">
        <f t="shared" si="9"/>
        <v>716.25</v>
      </c>
      <c r="J59" s="178">
        <f t="shared" si="9"/>
        <v>0.43</v>
      </c>
      <c r="K59" s="178">
        <f t="shared" si="9"/>
        <v>0.31</v>
      </c>
      <c r="L59" s="178">
        <f t="shared" si="9"/>
        <v>50.35</v>
      </c>
      <c r="M59" s="178">
        <f t="shared" si="9"/>
        <v>0.316</v>
      </c>
      <c r="N59" s="178">
        <f t="shared" si="9"/>
        <v>6.95</v>
      </c>
      <c r="O59" s="178">
        <f t="shared" si="9"/>
        <v>203.85</v>
      </c>
      <c r="P59" s="178">
        <f t="shared" si="9"/>
        <v>321.14</v>
      </c>
      <c r="Q59" s="178">
        <f t="shared" si="9"/>
        <v>2.2869999999999999</v>
      </c>
      <c r="R59" s="178">
        <f t="shared" si="9"/>
        <v>2.4880000000000003E-2</v>
      </c>
      <c r="S59" s="178">
        <f t="shared" si="9"/>
        <v>113.66000000000001</v>
      </c>
      <c r="T59" s="178">
        <f t="shared" si="9"/>
        <v>6.8</v>
      </c>
    </row>
    <row r="60" spans="2:20" s="176" customFormat="1" ht="18" customHeight="1" x14ac:dyDescent="0.3">
      <c r="B60" s="350" t="s">
        <v>226</v>
      </c>
      <c r="C60" s="350"/>
      <c r="D60" s="350"/>
      <c r="E60" s="350"/>
      <c r="F60" s="179">
        <f t="shared" ref="F60:T60" si="10">F59/F67</f>
        <v>0.24866666666666665</v>
      </c>
      <c r="G60" s="179">
        <f t="shared" si="10"/>
        <v>0.24467391304347827</v>
      </c>
      <c r="H60" s="179">
        <f t="shared" si="10"/>
        <v>0.27595300261096606</v>
      </c>
      <c r="I60" s="179">
        <f t="shared" si="10"/>
        <v>0.26332720588235292</v>
      </c>
      <c r="J60" s="179">
        <f t="shared" si="10"/>
        <v>0.30714285714285716</v>
      </c>
      <c r="K60" s="179">
        <f t="shared" si="10"/>
        <v>0.19374999999999998</v>
      </c>
      <c r="L60" s="179">
        <f t="shared" si="10"/>
        <v>0.71928571428571431</v>
      </c>
      <c r="M60" s="179">
        <f t="shared" si="10"/>
        <v>0.3511111111111111</v>
      </c>
      <c r="N60" s="179">
        <f t="shared" si="10"/>
        <v>0.57916666666666672</v>
      </c>
      <c r="O60" s="179">
        <f t="shared" si="10"/>
        <v>0.169875</v>
      </c>
      <c r="P60" s="179">
        <f t="shared" si="10"/>
        <v>0.26761666666666667</v>
      </c>
      <c r="Q60" s="179">
        <f t="shared" si="10"/>
        <v>0.16335714285714284</v>
      </c>
      <c r="R60" s="179">
        <f t="shared" si="10"/>
        <v>0.24880000000000002</v>
      </c>
      <c r="S60" s="179">
        <f t="shared" si="10"/>
        <v>0.37886666666666668</v>
      </c>
      <c r="T60" s="179">
        <f t="shared" si="10"/>
        <v>0.37777777777777777</v>
      </c>
    </row>
    <row r="61" spans="2:20" s="176" customFormat="1" ht="18" customHeight="1" x14ac:dyDescent="0.3">
      <c r="B61" s="355" t="s">
        <v>237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  <c r="S61" s="355"/>
      <c r="T61" s="355"/>
    </row>
    <row r="62" spans="2:20" s="176" customFormat="1" ht="18" customHeight="1" x14ac:dyDescent="0.3">
      <c r="B62" s="177" t="s">
        <v>224</v>
      </c>
      <c r="C62" s="352" t="s">
        <v>257</v>
      </c>
      <c r="D62" s="352"/>
      <c r="E62" s="177">
        <v>80</v>
      </c>
      <c r="F62" s="177">
        <v>5.95</v>
      </c>
      <c r="G62" s="177">
        <v>6.05</v>
      </c>
      <c r="H62" s="177">
        <v>38.22</v>
      </c>
      <c r="I62" s="177">
        <v>231.11</v>
      </c>
      <c r="J62" s="177">
        <v>0.06</v>
      </c>
      <c r="K62" s="177">
        <v>0.06</v>
      </c>
      <c r="L62" s="177">
        <v>0.02</v>
      </c>
      <c r="M62" s="177">
        <v>0.06</v>
      </c>
      <c r="N62" s="177"/>
      <c r="O62" s="177">
        <v>19.489999999999998</v>
      </c>
      <c r="P62" s="177">
        <v>55.89</v>
      </c>
      <c r="Q62" s="177"/>
      <c r="R62" s="177">
        <v>0</v>
      </c>
      <c r="S62" s="177">
        <v>8.27</v>
      </c>
      <c r="T62" s="177">
        <v>0.7</v>
      </c>
    </row>
    <row r="63" spans="2:20" s="176" customFormat="1" ht="18" customHeight="1" x14ac:dyDescent="0.3">
      <c r="B63" s="173">
        <v>386</v>
      </c>
      <c r="C63" s="359" t="s">
        <v>258</v>
      </c>
      <c r="D63" s="359"/>
      <c r="E63" s="173">
        <v>200</v>
      </c>
      <c r="F63" s="173">
        <v>5.8</v>
      </c>
      <c r="G63" s="173">
        <v>5</v>
      </c>
      <c r="H63" s="173">
        <v>8</v>
      </c>
      <c r="I63" s="173">
        <v>100.2</v>
      </c>
      <c r="J63" s="173">
        <v>0.04</v>
      </c>
      <c r="K63" s="173">
        <v>0.26</v>
      </c>
      <c r="L63" s="173">
        <v>0.6</v>
      </c>
      <c r="M63" s="173">
        <v>0.04</v>
      </c>
      <c r="N63" s="173">
        <v>1E-3</v>
      </c>
      <c r="O63" s="173">
        <v>240</v>
      </c>
      <c r="P63" s="173">
        <v>184</v>
      </c>
      <c r="Q63" s="173">
        <v>0.4</v>
      </c>
      <c r="R63" s="173">
        <v>1E-3</v>
      </c>
      <c r="S63" s="173">
        <v>28</v>
      </c>
      <c r="T63" s="173">
        <v>0.2</v>
      </c>
    </row>
    <row r="64" spans="2:20" s="176" customFormat="1" ht="18" customHeight="1" x14ac:dyDescent="0.3">
      <c r="B64" s="356" t="s">
        <v>240</v>
      </c>
      <c r="C64" s="357"/>
      <c r="D64" s="358"/>
      <c r="E64" s="178">
        <f>E63+E62</f>
        <v>280</v>
      </c>
      <c r="F64" s="178">
        <f t="shared" ref="F64:T64" si="11">F63+F62</f>
        <v>11.75</v>
      </c>
      <c r="G64" s="178">
        <f t="shared" si="11"/>
        <v>11.05</v>
      </c>
      <c r="H64" s="178">
        <f t="shared" si="11"/>
        <v>46.22</v>
      </c>
      <c r="I64" s="178">
        <f t="shared" si="11"/>
        <v>331.31</v>
      </c>
      <c r="J64" s="178">
        <f t="shared" si="11"/>
        <v>0.1</v>
      </c>
      <c r="K64" s="178">
        <f t="shared" si="11"/>
        <v>0.32</v>
      </c>
      <c r="L64" s="178">
        <f t="shared" si="11"/>
        <v>0.62</v>
      </c>
      <c r="M64" s="178">
        <f t="shared" si="11"/>
        <v>0.1</v>
      </c>
      <c r="N64" s="178">
        <f t="shared" si="11"/>
        <v>1E-3</v>
      </c>
      <c r="O64" s="178">
        <f t="shared" si="11"/>
        <v>259.49</v>
      </c>
      <c r="P64" s="178">
        <f t="shared" si="11"/>
        <v>239.89</v>
      </c>
      <c r="Q64" s="178">
        <f t="shared" si="11"/>
        <v>0.4</v>
      </c>
      <c r="R64" s="178">
        <f t="shared" si="11"/>
        <v>1E-3</v>
      </c>
      <c r="S64" s="178">
        <f t="shared" si="11"/>
        <v>36.269999999999996</v>
      </c>
      <c r="T64" s="178">
        <f t="shared" si="11"/>
        <v>0.89999999999999991</v>
      </c>
    </row>
    <row r="65" spans="2:20" s="176" customFormat="1" ht="18" customHeight="1" x14ac:dyDescent="0.3">
      <c r="B65" s="350" t="s">
        <v>226</v>
      </c>
      <c r="C65" s="350"/>
      <c r="D65" s="350"/>
      <c r="E65" s="350"/>
      <c r="F65" s="179">
        <f>F64/F67</f>
        <v>0.13055555555555556</v>
      </c>
      <c r="G65" s="179">
        <f t="shared" ref="G65:T65" si="12">G64/G67</f>
        <v>0.12010869565217393</v>
      </c>
      <c r="H65" s="179">
        <f t="shared" si="12"/>
        <v>0.12067885117493472</v>
      </c>
      <c r="I65" s="179">
        <f t="shared" si="12"/>
        <v>0.12180514705882353</v>
      </c>
      <c r="J65" s="179">
        <f t="shared" si="12"/>
        <v>7.1428571428571438E-2</v>
      </c>
      <c r="K65" s="179">
        <f t="shared" si="12"/>
        <v>0.19999999999999998</v>
      </c>
      <c r="L65" s="179">
        <f t="shared" si="12"/>
        <v>8.8571428571428568E-3</v>
      </c>
      <c r="M65" s="179">
        <f t="shared" si="12"/>
        <v>0.11111111111111112</v>
      </c>
      <c r="N65" s="179">
        <f t="shared" si="12"/>
        <v>8.3333333333333331E-5</v>
      </c>
      <c r="O65" s="179">
        <f t="shared" si="12"/>
        <v>0.21624166666666667</v>
      </c>
      <c r="P65" s="179">
        <f t="shared" si="12"/>
        <v>0.19990833333333333</v>
      </c>
      <c r="Q65" s="179">
        <f t="shared" si="12"/>
        <v>2.8571428571428574E-2</v>
      </c>
      <c r="R65" s="179">
        <f t="shared" si="12"/>
        <v>0.01</v>
      </c>
      <c r="S65" s="179">
        <f t="shared" si="12"/>
        <v>0.12089999999999999</v>
      </c>
      <c r="T65" s="179">
        <f t="shared" si="12"/>
        <v>4.9999999999999996E-2</v>
      </c>
    </row>
    <row r="66" spans="2:20" s="176" customFormat="1" ht="18" customHeight="1" x14ac:dyDescent="0.3">
      <c r="B66" s="350" t="s">
        <v>241</v>
      </c>
      <c r="C66" s="350"/>
      <c r="D66" s="350"/>
      <c r="E66" s="350"/>
      <c r="F66" s="178">
        <f>F49+F59+F64</f>
        <v>56.510000000000005</v>
      </c>
      <c r="G66" s="178">
        <f t="shared" ref="G66:T66" si="13">G49+G59+G64</f>
        <v>54.239999999999995</v>
      </c>
      <c r="H66" s="178">
        <f t="shared" si="13"/>
        <v>246.19</v>
      </c>
      <c r="I66" s="178">
        <f t="shared" si="13"/>
        <v>1702.0099999999998</v>
      </c>
      <c r="J66" s="178">
        <f t="shared" si="13"/>
        <v>0.73899999999999999</v>
      </c>
      <c r="K66" s="178">
        <f t="shared" si="13"/>
        <v>0.95</v>
      </c>
      <c r="L66" s="178">
        <f t="shared" si="13"/>
        <v>57.15</v>
      </c>
      <c r="M66" s="178">
        <f t="shared" si="13"/>
        <v>0.57899999999999996</v>
      </c>
      <c r="N66" s="178">
        <f t="shared" si="13"/>
        <v>7.7410000000000005</v>
      </c>
      <c r="O66" s="178">
        <f t="shared" si="13"/>
        <v>648.54</v>
      </c>
      <c r="P66" s="178">
        <f t="shared" si="13"/>
        <v>784.93</v>
      </c>
      <c r="Q66" s="178">
        <f t="shared" si="13"/>
        <v>3.859</v>
      </c>
      <c r="R66" s="178">
        <f t="shared" si="13"/>
        <v>4.1080000000000005E-2</v>
      </c>
      <c r="S66" s="178">
        <f t="shared" si="13"/>
        <v>227.73000000000002</v>
      </c>
      <c r="T66" s="178">
        <f t="shared" si="13"/>
        <v>10.34</v>
      </c>
    </row>
    <row r="67" spans="2:20" s="176" customFormat="1" ht="18" customHeight="1" x14ac:dyDescent="0.3">
      <c r="B67" s="350" t="s">
        <v>242</v>
      </c>
      <c r="C67" s="350"/>
      <c r="D67" s="350"/>
      <c r="E67" s="350"/>
      <c r="F67" s="177">
        <v>90</v>
      </c>
      <c r="G67" s="177">
        <v>92</v>
      </c>
      <c r="H67" s="177">
        <v>383</v>
      </c>
      <c r="I67" s="177">
        <v>2720</v>
      </c>
      <c r="J67" s="177">
        <v>1.4</v>
      </c>
      <c r="K67" s="177">
        <v>1.6</v>
      </c>
      <c r="L67" s="177">
        <v>70</v>
      </c>
      <c r="M67" s="177">
        <v>0.9</v>
      </c>
      <c r="N67" s="177">
        <v>12</v>
      </c>
      <c r="O67" s="177">
        <v>1200</v>
      </c>
      <c r="P67" s="177">
        <v>1200</v>
      </c>
      <c r="Q67" s="177">
        <v>14</v>
      </c>
      <c r="R67" s="177">
        <v>0.1</v>
      </c>
      <c r="S67" s="177">
        <v>300</v>
      </c>
      <c r="T67" s="177">
        <v>18</v>
      </c>
    </row>
    <row r="68" spans="2:20" s="176" customFormat="1" ht="18" customHeight="1" x14ac:dyDescent="0.3">
      <c r="B68" s="350" t="s">
        <v>226</v>
      </c>
      <c r="C68" s="350"/>
      <c r="D68" s="350"/>
      <c r="E68" s="350"/>
      <c r="F68" s="179">
        <f>F66/F67</f>
        <v>0.62788888888888894</v>
      </c>
      <c r="G68" s="179">
        <f t="shared" ref="G68:T68" si="14">G66/G67</f>
        <v>0.5895652173913043</v>
      </c>
      <c r="H68" s="179">
        <f t="shared" si="14"/>
        <v>0.64279373368146209</v>
      </c>
      <c r="I68" s="179">
        <f t="shared" si="14"/>
        <v>0.62573897058823524</v>
      </c>
      <c r="J68" s="179">
        <f t="shared" si="14"/>
        <v>0.52785714285714291</v>
      </c>
      <c r="K68" s="179">
        <f t="shared" si="14"/>
        <v>0.59374999999999989</v>
      </c>
      <c r="L68" s="179">
        <f t="shared" si="14"/>
        <v>0.81642857142857139</v>
      </c>
      <c r="M68" s="179">
        <f t="shared" si="14"/>
        <v>0.64333333333333331</v>
      </c>
      <c r="N68" s="179">
        <f t="shared" si="14"/>
        <v>0.64508333333333334</v>
      </c>
      <c r="O68" s="179">
        <f t="shared" si="14"/>
        <v>0.54044999999999999</v>
      </c>
      <c r="P68" s="179">
        <f t="shared" si="14"/>
        <v>0.65410833333333329</v>
      </c>
      <c r="Q68" s="179">
        <f t="shared" si="14"/>
        <v>0.27564285714285713</v>
      </c>
      <c r="R68" s="179">
        <f t="shared" si="14"/>
        <v>0.41080000000000005</v>
      </c>
      <c r="S68" s="179">
        <f t="shared" si="14"/>
        <v>0.75910000000000011</v>
      </c>
      <c r="T68" s="179">
        <f t="shared" si="14"/>
        <v>0.57444444444444442</v>
      </c>
    </row>
    <row r="69" spans="2:20" s="176" customFormat="1" ht="18" customHeight="1" x14ac:dyDescent="0.3">
      <c r="B69" s="254"/>
      <c r="C69" s="253"/>
      <c r="D69" s="177"/>
      <c r="E69" s="177"/>
      <c r="F69" s="177"/>
      <c r="G69" s="177"/>
      <c r="H69" s="177"/>
      <c r="I69" s="177"/>
      <c r="J69" s="177"/>
      <c r="K69" s="177"/>
      <c r="L69" s="177"/>
      <c r="M69" s="372" t="s">
        <v>187</v>
      </c>
      <c r="N69" s="372"/>
      <c r="O69" s="372"/>
      <c r="P69" s="372"/>
      <c r="Q69" s="372"/>
      <c r="R69" s="372"/>
      <c r="S69" s="372"/>
      <c r="T69" s="372"/>
    </row>
    <row r="70" spans="2:20" s="176" customFormat="1" ht="18" customHeight="1" x14ac:dyDescent="0.3">
      <c r="B70" s="355" t="s">
        <v>260</v>
      </c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</row>
    <row r="71" spans="2:20" s="176" customFormat="1" ht="18" customHeight="1" x14ac:dyDescent="0.3">
      <c r="B71" s="350" t="s">
        <v>261</v>
      </c>
      <c r="C71" s="350"/>
      <c r="D71" s="177"/>
      <c r="E71" s="177"/>
      <c r="F71" s="177"/>
      <c r="G71" s="372" t="s">
        <v>262</v>
      </c>
      <c r="H71" s="372"/>
      <c r="I71" s="372"/>
      <c r="J71" s="177"/>
      <c r="K71" s="177"/>
      <c r="L71" s="350" t="s">
        <v>191</v>
      </c>
      <c r="M71" s="350"/>
      <c r="N71" s="372" t="s">
        <v>192</v>
      </c>
      <c r="O71" s="372"/>
      <c r="P71" s="372"/>
      <c r="Q71" s="372"/>
      <c r="R71" s="177"/>
      <c r="S71" s="177"/>
      <c r="T71" s="177"/>
    </row>
    <row r="72" spans="2:20" s="176" customFormat="1" ht="18" customHeight="1" x14ac:dyDescent="0.3">
      <c r="B72" s="177"/>
      <c r="C72" s="177"/>
      <c r="D72" s="177"/>
      <c r="E72" s="355" t="s">
        <v>194</v>
      </c>
      <c r="F72" s="355"/>
      <c r="G72" s="177">
        <v>1</v>
      </c>
      <c r="H72" s="177"/>
      <c r="I72" s="177"/>
      <c r="J72" s="177"/>
      <c r="K72" s="177"/>
      <c r="L72" s="350" t="s">
        <v>195</v>
      </c>
      <c r="M72" s="350"/>
      <c r="N72" s="372" t="s">
        <v>347</v>
      </c>
      <c r="O72" s="372"/>
      <c r="P72" s="372"/>
      <c r="Q72" s="372"/>
      <c r="R72" s="372"/>
      <c r="S72" s="372"/>
      <c r="T72" s="372"/>
    </row>
    <row r="73" spans="2:20" s="176" customFormat="1" ht="18" customHeight="1" x14ac:dyDescent="0.3">
      <c r="B73" s="255" t="s">
        <v>0</v>
      </c>
      <c r="C73" s="378" t="s">
        <v>198</v>
      </c>
      <c r="D73" s="378"/>
      <c r="E73" s="378" t="s">
        <v>199</v>
      </c>
      <c r="F73" s="378" t="s">
        <v>200</v>
      </c>
      <c r="G73" s="378"/>
      <c r="H73" s="378"/>
      <c r="I73" s="255" t="s">
        <v>201</v>
      </c>
      <c r="J73" s="378" t="s">
        <v>202</v>
      </c>
      <c r="K73" s="378"/>
      <c r="L73" s="378"/>
      <c r="M73" s="378"/>
      <c r="N73" s="378"/>
      <c r="O73" s="378" t="s">
        <v>203</v>
      </c>
      <c r="P73" s="378"/>
      <c r="Q73" s="378"/>
      <c r="R73" s="378"/>
      <c r="S73" s="378"/>
      <c r="T73" s="378"/>
    </row>
    <row r="74" spans="2:20" s="176" customFormat="1" ht="18" customHeight="1" x14ac:dyDescent="0.3">
      <c r="B74" s="255" t="s">
        <v>245</v>
      </c>
      <c r="C74" s="378"/>
      <c r="D74" s="378"/>
      <c r="E74" s="378"/>
      <c r="F74" s="255" t="s">
        <v>204</v>
      </c>
      <c r="G74" s="255" t="s">
        <v>205</v>
      </c>
      <c r="H74" s="255" t="s">
        <v>206</v>
      </c>
      <c r="I74" s="255" t="s">
        <v>207</v>
      </c>
      <c r="J74" s="255" t="s">
        <v>208</v>
      </c>
      <c r="K74" s="255" t="s">
        <v>209</v>
      </c>
      <c r="L74" s="255" t="s">
        <v>210</v>
      </c>
      <c r="M74" s="255" t="s">
        <v>211</v>
      </c>
      <c r="N74" s="255" t="s">
        <v>212</v>
      </c>
      <c r="O74" s="255" t="s">
        <v>213</v>
      </c>
      <c r="P74" s="255" t="s">
        <v>214</v>
      </c>
      <c r="Q74" s="255" t="s">
        <v>215</v>
      </c>
      <c r="R74" s="255" t="s">
        <v>216</v>
      </c>
      <c r="S74" s="255" t="s">
        <v>217</v>
      </c>
      <c r="T74" s="255" t="s">
        <v>218</v>
      </c>
    </row>
    <row r="75" spans="2:20" s="176" customFormat="1" ht="18" customHeight="1" x14ac:dyDescent="0.3">
      <c r="B75" s="183">
        <v>1</v>
      </c>
      <c r="C75" s="373">
        <v>2</v>
      </c>
      <c r="D75" s="373"/>
      <c r="E75" s="183">
        <v>3</v>
      </c>
      <c r="F75" s="183">
        <v>4</v>
      </c>
      <c r="G75" s="183">
        <v>5</v>
      </c>
      <c r="H75" s="183">
        <v>6</v>
      </c>
      <c r="I75" s="183">
        <v>7</v>
      </c>
      <c r="J75" s="183">
        <v>8</v>
      </c>
      <c r="K75" s="183">
        <v>9</v>
      </c>
      <c r="L75" s="183">
        <v>10</v>
      </c>
      <c r="M75" s="183">
        <v>11</v>
      </c>
      <c r="N75" s="183">
        <v>12</v>
      </c>
      <c r="O75" s="183">
        <v>13</v>
      </c>
      <c r="P75" s="183">
        <v>14</v>
      </c>
      <c r="Q75" s="183">
        <v>15</v>
      </c>
      <c r="R75" s="183">
        <v>16</v>
      </c>
      <c r="S75" s="183">
        <v>17</v>
      </c>
      <c r="T75" s="183">
        <v>18</v>
      </c>
    </row>
    <row r="76" spans="2:20" s="176" customFormat="1" ht="18" customHeight="1" x14ac:dyDescent="0.3">
      <c r="B76" s="355" t="s">
        <v>219</v>
      </c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</row>
    <row r="77" spans="2:20" s="176" customFormat="1" ht="18" customHeight="1" x14ac:dyDescent="0.3">
      <c r="B77" s="177">
        <v>59</v>
      </c>
      <c r="C77" s="352" t="s">
        <v>263</v>
      </c>
      <c r="D77" s="352"/>
      <c r="E77" s="177">
        <v>100</v>
      </c>
      <c r="F77" s="177">
        <v>1.06</v>
      </c>
      <c r="G77" s="177">
        <v>0.17</v>
      </c>
      <c r="H77" s="177">
        <v>8.52</v>
      </c>
      <c r="I77" s="177">
        <v>39.9</v>
      </c>
      <c r="J77" s="177">
        <v>0.05</v>
      </c>
      <c r="K77" s="177">
        <v>0.02</v>
      </c>
      <c r="L77" s="177">
        <v>4.38</v>
      </c>
      <c r="M77" s="177">
        <v>0.02</v>
      </c>
      <c r="N77" s="177">
        <v>2.4900000000000002</v>
      </c>
      <c r="O77" s="177">
        <v>24</v>
      </c>
      <c r="P77" s="177">
        <v>33.979999999999997</v>
      </c>
      <c r="Q77" s="177">
        <v>0.13</v>
      </c>
      <c r="R77" s="177">
        <v>1E-3</v>
      </c>
      <c r="S77" s="177">
        <v>6.6</v>
      </c>
      <c r="T77" s="177">
        <v>1.07</v>
      </c>
    </row>
    <row r="78" spans="2:20" s="176" customFormat="1" ht="18" customHeight="1" x14ac:dyDescent="0.3">
      <c r="B78" s="173" t="s">
        <v>355</v>
      </c>
      <c r="C78" s="359" t="s">
        <v>346</v>
      </c>
      <c r="D78" s="359"/>
      <c r="E78" s="173">
        <v>100</v>
      </c>
      <c r="F78" s="173">
        <v>1.5</v>
      </c>
      <c r="G78" s="173">
        <v>0.5</v>
      </c>
      <c r="H78" s="173">
        <v>21</v>
      </c>
      <c r="I78" s="173">
        <v>96</v>
      </c>
      <c r="J78" s="173">
        <v>0.04</v>
      </c>
      <c r="K78" s="173"/>
      <c r="L78" s="173">
        <v>10</v>
      </c>
      <c r="M78" s="173"/>
      <c r="N78" s="173">
        <v>0.4</v>
      </c>
      <c r="O78" s="173">
        <v>8</v>
      </c>
      <c r="P78" s="173">
        <v>28</v>
      </c>
      <c r="Q78" s="173"/>
      <c r="R78" s="173"/>
      <c r="S78" s="173">
        <v>42</v>
      </c>
      <c r="T78" s="173">
        <v>0.5</v>
      </c>
    </row>
    <row r="79" spans="2:20" s="176" customFormat="1" ht="18" customHeight="1" x14ac:dyDescent="0.3">
      <c r="B79" s="188" t="s">
        <v>264</v>
      </c>
      <c r="C79" s="366" t="s">
        <v>265</v>
      </c>
      <c r="D79" s="366"/>
      <c r="E79" s="173">
        <v>30</v>
      </c>
      <c r="F79" s="173">
        <v>0.15</v>
      </c>
      <c r="G79" s="173">
        <v>0</v>
      </c>
      <c r="H79" s="173">
        <v>17.850000000000001</v>
      </c>
      <c r="I79" s="173">
        <v>71.7</v>
      </c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</row>
    <row r="80" spans="2:20" s="176" customFormat="1" ht="18" customHeight="1" x14ac:dyDescent="0.3">
      <c r="B80" s="173" t="s">
        <v>266</v>
      </c>
      <c r="C80" s="359" t="s">
        <v>137</v>
      </c>
      <c r="D80" s="359"/>
      <c r="E80" s="177">
        <v>200</v>
      </c>
      <c r="F80" s="177">
        <v>34.14</v>
      </c>
      <c r="G80" s="177">
        <v>21.46</v>
      </c>
      <c r="H80" s="177">
        <v>33.340000000000003</v>
      </c>
      <c r="I80" s="177">
        <v>463.74</v>
      </c>
      <c r="J80" s="177">
        <v>0.08</v>
      </c>
      <c r="K80" s="177">
        <v>0.42</v>
      </c>
      <c r="L80" s="177">
        <v>0.38</v>
      </c>
      <c r="M80" s="177">
        <v>0.08</v>
      </c>
      <c r="N80" s="177"/>
      <c r="O80" s="177">
        <v>282.66000000000003</v>
      </c>
      <c r="P80" s="177">
        <v>386.66</v>
      </c>
      <c r="Q80" s="177"/>
      <c r="R80" s="177">
        <v>0.04</v>
      </c>
      <c r="S80" s="177">
        <v>42.66</v>
      </c>
      <c r="T80" s="177">
        <v>1.2</v>
      </c>
    </row>
    <row r="81" spans="2:20" s="176" customFormat="1" ht="18" customHeight="1" x14ac:dyDescent="0.3">
      <c r="B81" s="177">
        <v>376</v>
      </c>
      <c r="C81" s="352" t="s">
        <v>141</v>
      </c>
      <c r="D81" s="352"/>
      <c r="E81" s="177">
        <v>200</v>
      </c>
      <c r="F81" s="177">
        <v>0.2</v>
      </c>
      <c r="G81" s="177">
        <v>0.05</v>
      </c>
      <c r="H81" s="177">
        <v>15.01</v>
      </c>
      <c r="I81" s="177">
        <v>61</v>
      </c>
      <c r="J81" s="177">
        <v>0</v>
      </c>
      <c r="K81" s="177">
        <v>0.01</v>
      </c>
      <c r="L81" s="177">
        <v>9</v>
      </c>
      <c r="M81" s="177">
        <v>1E-4</v>
      </c>
      <c r="N81" s="177">
        <v>4.4999999999999998E-2</v>
      </c>
      <c r="O81" s="177">
        <v>5.25</v>
      </c>
      <c r="P81" s="177">
        <v>8.24</v>
      </c>
      <c r="Q81" s="177">
        <v>8.0000000000000002E-3</v>
      </c>
      <c r="R81" s="177">
        <v>0</v>
      </c>
      <c r="S81" s="177">
        <v>4.4000000000000004</v>
      </c>
      <c r="T81" s="177">
        <v>0.87</v>
      </c>
    </row>
    <row r="82" spans="2:20" s="176" customFormat="1" ht="18" customHeight="1" x14ac:dyDescent="0.3">
      <c r="B82" s="177" t="s">
        <v>224</v>
      </c>
      <c r="C82" s="352" t="s">
        <v>302</v>
      </c>
      <c r="D82" s="352"/>
      <c r="E82" s="177">
        <v>40</v>
      </c>
      <c r="F82" s="177">
        <v>2.67</v>
      </c>
      <c r="G82" s="177">
        <v>0.53</v>
      </c>
      <c r="H82" s="177">
        <v>13.73</v>
      </c>
      <c r="I82" s="177">
        <v>70.400000000000006</v>
      </c>
      <c r="J82" s="177">
        <v>0.13</v>
      </c>
      <c r="K82" s="177">
        <v>1.2999999999999999E-2</v>
      </c>
      <c r="L82" s="177">
        <v>0.1</v>
      </c>
      <c r="M82" s="177">
        <v>0</v>
      </c>
      <c r="N82" s="177">
        <v>0.93</v>
      </c>
      <c r="O82" s="177">
        <v>14</v>
      </c>
      <c r="P82" s="177">
        <v>63.2</v>
      </c>
      <c r="Q82" s="177">
        <v>1.2999999999999999E-2</v>
      </c>
      <c r="R82" s="177">
        <v>1.2999999999999999E-2</v>
      </c>
      <c r="S82" s="177">
        <v>18.8</v>
      </c>
      <c r="T82" s="177">
        <v>1.6</v>
      </c>
    </row>
    <row r="83" spans="2:20" s="176" customFormat="1" ht="18" customHeight="1" x14ac:dyDescent="0.3">
      <c r="B83" s="350" t="s">
        <v>225</v>
      </c>
      <c r="C83" s="350"/>
      <c r="D83" s="350"/>
      <c r="E83" s="178">
        <f>E77+E79+E80+E81+E82</f>
        <v>570</v>
      </c>
      <c r="F83" s="178">
        <f t="shared" ref="F83:T83" si="15">F77+F79+F80+F81+F82</f>
        <v>38.220000000000006</v>
      </c>
      <c r="G83" s="178">
        <f t="shared" si="15"/>
        <v>22.210000000000004</v>
      </c>
      <c r="H83" s="178">
        <f t="shared" si="15"/>
        <v>88.450000000000017</v>
      </c>
      <c r="I83" s="178">
        <f t="shared" si="15"/>
        <v>706.74</v>
      </c>
      <c r="J83" s="178">
        <f t="shared" si="15"/>
        <v>0.26</v>
      </c>
      <c r="K83" s="178">
        <f t="shared" si="15"/>
        <v>0.46300000000000002</v>
      </c>
      <c r="L83" s="178">
        <f t="shared" si="15"/>
        <v>13.86</v>
      </c>
      <c r="M83" s="178">
        <f t="shared" si="15"/>
        <v>0.10010000000000001</v>
      </c>
      <c r="N83" s="178">
        <f t="shared" si="15"/>
        <v>3.4650000000000003</v>
      </c>
      <c r="O83" s="178">
        <f t="shared" si="15"/>
        <v>325.91000000000003</v>
      </c>
      <c r="P83" s="178">
        <f t="shared" si="15"/>
        <v>492.08000000000004</v>
      </c>
      <c r="Q83" s="178">
        <f t="shared" si="15"/>
        <v>0.15100000000000002</v>
      </c>
      <c r="R83" s="178">
        <f t="shared" si="15"/>
        <v>5.3999999999999999E-2</v>
      </c>
      <c r="S83" s="178">
        <f t="shared" si="15"/>
        <v>72.459999999999994</v>
      </c>
      <c r="T83" s="178">
        <f t="shared" si="15"/>
        <v>4.74</v>
      </c>
    </row>
    <row r="84" spans="2:20" s="176" customFormat="1" ht="18" customHeight="1" x14ac:dyDescent="0.3">
      <c r="B84" s="350" t="s">
        <v>226</v>
      </c>
      <c r="C84" s="350"/>
      <c r="D84" s="350"/>
      <c r="E84" s="350"/>
      <c r="F84" s="179">
        <f>F83/F101</f>
        <v>0.42466666666666675</v>
      </c>
      <c r="G84" s="179">
        <v>0.19209999999999999</v>
      </c>
      <c r="H84" s="179">
        <v>0.23139999999999999</v>
      </c>
      <c r="I84" s="179">
        <v>0.2205</v>
      </c>
      <c r="J84" s="179">
        <v>0.35949999999999999</v>
      </c>
      <c r="K84" s="179">
        <v>0.33329999999999999</v>
      </c>
      <c r="L84" s="179">
        <v>0.2445</v>
      </c>
      <c r="M84" s="179">
        <v>0.38900000000000001</v>
      </c>
      <c r="N84" s="179">
        <v>0.4299</v>
      </c>
      <c r="O84" s="179">
        <v>0.251</v>
      </c>
      <c r="P84" s="179">
        <v>0.49669999999999997</v>
      </c>
      <c r="Q84" s="179">
        <v>9.7199999999999995E-2</v>
      </c>
      <c r="R84" s="179">
        <v>0.35</v>
      </c>
      <c r="S84" s="179">
        <v>0.47049999999999997</v>
      </c>
      <c r="T84" s="179">
        <v>0.36899999999999999</v>
      </c>
    </row>
    <row r="85" spans="2:20" s="176" customFormat="1" ht="18" customHeight="1" x14ac:dyDescent="0.3">
      <c r="B85" s="355" t="s">
        <v>227</v>
      </c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</row>
    <row r="86" spans="2:20" s="176" customFormat="1" ht="21" customHeight="1" x14ac:dyDescent="0.3">
      <c r="B86" s="173" t="s">
        <v>268</v>
      </c>
      <c r="C86" s="359" t="s">
        <v>269</v>
      </c>
      <c r="D86" s="359"/>
      <c r="E86" s="177">
        <v>100</v>
      </c>
      <c r="F86" s="177">
        <v>0.83</v>
      </c>
      <c r="G86" s="177">
        <v>5.03</v>
      </c>
      <c r="H86" s="177">
        <v>1.84</v>
      </c>
      <c r="I86" s="177">
        <v>56</v>
      </c>
      <c r="J86" s="177">
        <v>0.15</v>
      </c>
      <c r="K86" s="177">
        <v>0.03</v>
      </c>
      <c r="L86" s="177">
        <v>7.08</v>
      </c>
      <c r="M86" s="177">
        <v>0.15</v>
      </c>
      <c r="N86" s="177"/>
      <c r="O86" s="177">
        <v>33.96</v>
      </c>
      <c r="P86" s="177">
        <v>23.22</v>
      </c>
      <c r="Q86" s="177"/>
      <c r="R86" s="177">
        <v>0</v>
      </c>
      <c r="S86" s="177">
        <v>13.92</v>
      </c>
      <c r="T86" s="177">
        <v>0.64</v>
      </c>
    </row>
    <row r="87" spans="2:20" s="176" customFormat="1" ht="29.25" customHeight="1" x14ac:dyDescent="0.3">
      <c r="B87" s="177">
        <v>24</v>
      </c>
      <c r="C87" s="352" t="s">
        <v>270</v>
      </c>
      <c r="D87" s="352"/>
      <c r="E87" s="177">
        <v>100</v>
      </c>
      <c r="F87" s="177">
        <v>0.5</v>
      </c>
      <c r="G87" s="177">
        <v>3.33</v>
      </c>
      <c r="H87" s="177">
        <v>2.67</v>
      </c>
      <c r="I87" s="177">
        <v>42.67</v>
      </c>
      <c r="J87" s="177">
        <v>0.1</v>
      </c>
      <c r="K87" s="177">
        <v>7.0000000000000007E-2</v>
      </c>
      <c r="L87" s="177">
        <v>20.67</v>
      </c>
      <c r="M87" s="177">
        <v>2E-3</v>
      </c>
      <c r="N87" s="177">
        <v>2.5</v>
      </c>
      <c r="O87" s="177">
        <v>47</v>
      </c>
      <c r="P87" s="177">
        <v>53.83</v>
      </c>
      <c r="Q87" s="177">
        <v>0.5</v>
      </c>
      <c r="R87" s="177">
        <v>3.0000000000000001E-3</v>
      </c>
      <c r="S87" s="177">
        <v>31</v>
      </c>
      <c r="T87" s="177">
        <v>0.83</v>
      </c>
    </row>
    <row r="88" spans="2:20" s="176" customFormat="1" ht="18" customHeight="1" x14ac:dyDescent="0.3">
      <c r="B88" s="173">
        <v>110</v>
      </c>
      <c r="C88" s="359" t="s">
        <v>271</v>
      </c>
      <c r="D88" s="359"/>
      <c r="E88" s="177">
        <v>250</v>
      </c>
      <c r="F88" s="177">
        <v>1.6</v>
      </c>
      <c r="G88" s="177">
        <v>4.8</v>
      </c>
      <c r="H88" s="177">
        <v>11.23</v>
      </c>
      <c r="I88" s="177">
        <v>93.75</v>
      </c>
      <c r="J88" s="177">
        <v>0.05</v>
      </c>
      <c r="K88" s="177">
        <v>0.05</v>
      </c>
      <c r="L88" s="177">
        <v>7.63</v>
      </c>
      <c r="M88" s="177">
        <v>0.05</v>
      </c>
      <c r="N88" s="177"/>
      <c r="O88" s="177">
        <v>27.83</v>
      </c>
      <c r="P88" s="177">
        <v>0</v>
      </c>
      <c r="Q88" s="177"/>
      <c r="R88" s="177">
        <v>0</v>
      </c>
      <c r="S88" s="177">
        <v>19.48</v>
      </c>
      <c r="T88" s="177">
        <v>0.9</v>
      </c>
    </row>
    <row r="89" spans="2:20" s="176" customFormat="1" ht="18" customHeight="1" x14ac:dyDescent="0.3">
      <c r="B89" s="173">
        <v>291</v>
      </c>
      <c r="C89" s="359" t="s">
        <v>272</v>
      </c>
      <c r="D89" s="359"/>
      <c r="E89" s="173">
        <v>240</v>
      </c>
      <c r="F89" s="173">
        <v>22.36</v>
      </c>
      <c r="G89" s="173">
        <v>26.14</v>
      </c>
      <c r="H89" s="173">
        <v>47.23</v>
      </c>
      <c r="I89" s="173">
        <v>513.6</v>
      </c>
      <c r="J89" s="173">
        <v>0.82</v>
      </c>
      <c r="K89" s="173">
        <v>0.79</v>
      </c>
      <c r="L89" s="173">
        <v>4.3</v>
      </c>
      <c r="M89" s="173">
        <v>0.46</v>
      </c>
      <c r="N89" s="173">
        <v>0</v>
      </c>
      <c r="O89" s="173">
        <v>44.29</v>
      </c>
      <c r="P89" s="173">
        <v>301.66000000000003</v>
      </c>
      <c r="Q89" s="173">
        <v>0</v>
      </c>
      <c r="R89" s="173">
        <v>0</v>
      </c>
      <c r="S89" s="173">
        <v>64.39</v>
      </c>
      <c r="T89" s="173">
        <v>2.77</v>
      </c>
    </row>
    <row r="90" spans="2:20" s="176" customFormat="1" ht="18" customHeight="1" x14ac:dyDescent="0.3">
      <c r="B90" s="177">
        <v>342</v>
      </c>
      <c r="C90" s="352" t="s">
        <v>273</v>
      </c>
      <c r="D90" s="352"/>
      <c r="E90" s="177">
        <v>200</v>
      </c>
      <c r="F90" s="177">
        <v>0.16</v>
      </c>
      <c r="G90" s="177">
        <v>0.16</v>
      </c>
      <c r="H90" s="177">
        <v>27.9</v>
      </c>
      <c r="I90" s="177">
        <v>114</v>
      </c>
      <c r="J90" s="177">
        <v>0.01</v>
      </c>
      <c r="K90" s="177">
        <v>0.01</v>
      </c>
      <c r="L90" s="177">
        <v>6.6</v>
      </c>
      <c r="M90" s="177">
        <v>0.01</v>
      </c>
      <c r="N90" s="177">
        <v>0.4</v>
      </c>
      <c r="O90" s="177">
        <v>6.88</v>
      </c>
      <c r="P90" s="177">
        <v>4.4000000000000004</v>
      </c>
      <c r="Q90" s="177">
        <v>0.08</v>
      </c>
      <c r="R90" s="177">
        <v>0.01</v>
      </c>
      <c r="S90" s="177">
        <v>3.6</v>
      </c>
      <c r="T90" s="177">
        <v>0.95</v>
      </c>
    </row>
    <row r="91" spans="2:20" s="176" customFormat="1" ht="18" customHeight="1" x14ac:dyDescent="0.3">
      <c r="B91" s="177" t="s">
        <v>224</v>
      </c>
      <c r="C91" s="352" t="s">
        <v>235</v>
      </c>
      <c r="D91" s="352"/>
      <c r="E91" s="177">
        <v>40</v>
      </c>
      <c r="F91" s="177">
        <v>2.64</v>
      </c>
      <c r="G91" s="177">
        <v>0.48</v>
      </c>
      <c r="H91" s="177">
        <v>13.68</v>
      </c>
      <c r="I91" s="177">
        <v>69.599999999999994</v>
      </c>
      <c r="J91" s="177">
        <v>0.08</v>
      </c>
      <c r="K91" s="177">
        <v>0.04</v>
      </c>
      <c r="L91" s="177">
        <v>0</v>
      </c>
      <c r="M91" s="177">
        <v>0</v>
      </c>
      <c r="N91" s="177">
        <v>2.4</v>
      </c>
      <c r="O91" s="177">
        <v>14</v>
      </c>
      <c r="P91" s="177">
        <v>63.2</v>
      </c>
      <c r="Q91" s="177">
        <v>1.2</v>
      </c>
      <c r="R91" s="177">
        <v>1E-3</v>
      </c>
      <c r="S91" s="177">
        <v>9.4</v>
      </c>
      <c r="T91" s="177">
        <v>0.78</v>
      </c>
    </row>
    <row r="92" spans="2:20" s="176" customFormat="1" ht="18" customHeight="1" x14ac:dyDescent="0.3">
      <c r="B92" s="177" t="s">
        <v>224</v>
      </c>
      <c r="C92" s="352" t="s">
        <v>117</v>
      </c>
      <c r="D92" s="352"/>
      <c r="E92" s="177">
        <v>30</v>
      </c>
      <c r="F92" s="177">
        <v>1.52</v>
      </c>
      <c r="G92" s="177">
        <v>0.16</v>
      </c>
      <c r="H92" s="177">
        <v>9.84</v>
      </c>
      <c r="I92" s="177">
        <v>46.9</v>
      </c>
      <c r="J92" s="177">
        <v>0.02</v>
      </c>
      <c r="K92" s="177">
        <v>0.01</v>
      </c>
      <c r="L92" s="177">
        <v>0.44</v>
      </c>
      <c r="M92" s="177">
        <v>0</v>
      </c>
      <c r="N92" s="177">
        <v>0.7</v>
      </c>
      <c r="O92" s="177">
        <v>4</v>
      </c>
      <c r="P92" s="177">
        <v>13</v>
      </c>
      <c r="Q92" s="177">
        <v>8.0000000000000002E-3</v>
      </c>
      <c r="R92" s="177">
        <v>1E-3</v>
      </c>
      <c r="S92" s="177">
        <v>0</v>
      </c>
      <c r="T92" s="177">
        <v>0.22</v>
      </c>
    </row>
    <row r="93" spans="2:20" s="176" customFormat="1" ht="26.25" customHeight="1" x14ac:dyDescent="0.3">
      <c r="B93" s="350" t="s">
        <v>236</v>
      </c>
      <c r="C93" s="350"/>
      <c r="D93" s="350"/>
      <c r="E93" s="178">
        <f>SUM(E87:E92)</f>
        <v>860</v>
      </c>
      <c r="F93" s="178">
        <f t="shared" ref="F93:T93" si="16">SUM(F87:F92)</f>
        <v>28.78</v>
      </c>
      <c r="G93" s="178">
        <f t="shared" si="16"/>
        <v>35.069999999999986</v>
      </c>
      <c r="H93" s="178">
        <f t="shared" si="16"/>
        <v>112.55000000000001</v>
      </c>
      <c r="I93" s="178">
        <f t="shared" si="16"/>
        <v>880.52</v>
      </c>
      <c r="J93" s="178">
        <f t="shared" si="16"/>
        <v>1.08</v>
      </c>
      <c r="K93" s="178">
        <f t="shared" si="16"/>
        <v>0.97000000000000008</v>
      </c>
      <c r="L93" s="178">
        <f t="shared" si="16"/>
        <v>39.64</v>
      </c>
      <c r="M93" s="178">
        <f t="shared" si="16"/>
        <v>0.52200000000000002</v>
      </c>
      <c r="N93" s="178">
        <f t="shared" si="16"/>
        <v>6</v>
      </c>
      <c r="O93" s="178">
        <f t="shared" si="16"/>
        <v>144</v>
      </c>
      <c r="P93" s="178">
        <f t="shared" si="16"/>
        <v>436.09</v>
      </c>
      <c r="Q93" s="178">
        <f t="shared" si="16"/>
        <v>1.7879999999999998</v>
      </c>
      <c r="R93" s="178">
        <f t="shared" si="16"/>
        <v>1.5000000000000003E-2</v>
      </c>
      <c r="S93" s="178">
        <f t="shared" si="16"/>
        <v>127.87</v>
      </c>
      <c r="T93" s="178">
        <f t="shared" si="16"/>
        <v>6.45</v>
      </c>
    </row>
    <row r="94" spans="2:20" s="176" customFormat="1" ht="18" customHeight="1" x14ac:dyDescent="0.3">
      <c r="B94" s="350" t="s">
        <v>226</v>
      </c>
      <c r="C94" s="350"/>
      <c r="D94" s="350"/>
      <c r="E94" s="350"/>
      <c r="F94" s="179">
        <f>F93/F101</f>
        <v>0.31977777777777777</v>
      </c>
      <c r="G94" s="179">
        <f t="shared" ref="G94:T94" si="17">G93/G101</f>
        <v>0.38119565217391288</v>
      </c>
      <c r="H94" s="179">
        <f t="shared" si="17"/>
        <v>0.29386422976501309</v>
      </c>
      <c r="I94" s="179">
        <f t="shared" si="17"/>
        <v>0.32372058823529409</v>
      </c>
      <c r="J94" s="179">
        <f t="shared" si="17"/>
        <v>0.77142857142857157</v>
      </c>
      <c r="K94" s="179">
        <f t="shared" si="17"/>
        <v>0.60625000000000007</v>
      </c>
      <c r="L94" s="179">
        <f t="shared" si="17"/>
        <v>0.56628571428571428</v>
      </c>
      <c r="M94" s="179">
        <f t="shared" si="17"/>
        <v>0.57999999999999996</v>
      </c>
      <c r="N94" s="179">
        <f t="shared" si="17"/>
        <v>0.5</v>
      </c>
      <c r="O94" s="179">
        <f t="shared" si="17"/>
        <v>0.12</v>
      </c>
      <c r="P94" s="179">
        <f t="shared" si="17"/>
        <v>0.36340833333333333</v>
      </c>
      <c r="Q94" s="179">
        <f t="shared" si="17"/>
        <v>0.1277142857142857</v>
      </c>
      <c r="R94" s="179">
        <f t="shared" si="17"/>
        <v>0.15000000000000002</v>
      </c>
      <c r="S94" s="179">
        <f t="shared" si="17"/>
        <v>0.42623333333333335</v>
      </c>
      <c r="T94" s="179">
        <f t="shared" si="17"/>
        <v>0.35833333333333334</v>
      </c>
    </row>
    <row r="95" spans="2:20" s="176" customFormat="1" ht="18" customHeight="1" x14ac:dyDescent="0.3">
      <c r="B95" s="355" t="s">
        <v>237</v>
      </c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</row>
    <row r="96" spans="2:20" s="176" customFormat="1" ht="18" customHeight="1" x14ac:dyDescent="0.3">
      <c r="B96" s="177" t="s">
        <v>224</v>
      </c>
      <c r="C96" s="352" t="s">
        <v>274</v>
      </c>
      <c r="D96" s="352"/>
      <c r="E96" s="177">
        <v>100</v>
      </c>
      <c r="F96" s="177">
        <v>13.08</v>
      </c>
      <c r="G96" s="177">
        <v>6.06</v>
      </c>
      <c r="H96" s="177">
        <v>49.58</v>
      </c>
      <c r="I96" s="177">
        <v>306</v>
      </c>
      <c r="J96" s="177">
        <v>0.14000000000000001</v>
      </c>
      <c r="K96" s="177">
        <v>0.18</v>
      </c>
      <c r="L96" s="177">
        <v>0.18</v>
      </c>
      <c r="M96" s="177">
        <v>0.14000000000000001</v>
      </c>
      <c r="N96" s="177"/>
      <c r="O96" s="177">
        <v>75.8</v>
      </c>
      <c r="P96" s="177">
        <v>140</v>
      </c>
      <c r="Q96" s="177"/>
      <c r="R96" s="177">
        <v>0</v>
      </c>
      <c r="S96" s="177">
        <v>34.6</v>
      </c>
      <c r="T96" s="177">
        <v>1.52</v>
      </c>
    </row>
    <row r="97" spans="2:20" s="176" customFormat="1" ht="18" customHeight="1" x14ac:dyDescent="0.3">
      <c r="B97" s="173">
        <v>377</v>
      </c>
      <c r="C97" s="359" t="s">
        <v>149</v>
      </c>
      <c r="D97" s="359"/>
      <c r="E97" s="173" t="s">
        <v>234</v>
      </c>
      <c r="F97" s="173">
        <v>0.26</v>
      </c>
      <c r="G97" s="173">
        <v>0.06</v>
      </c>
      <c r="H97" s="173">
        <v>15.22</v>
      </c>
      <c r="I97" s="173">
        <v>62.5</v>
      </c>
      <c r="J97" s="173"/>
      <c r="K97" s="173">
        <v>0.01</v>
      </c>
      <c r="L97" s="173">
        <v>2.9</v>
      </c>
      <c r="M97" s="173">
        <v>0</v>
      </c>
      <c r="N97" s="173">
        <v>0.06</v>
      </c>
      <c r="O97" s="173">
        <v>8.0500000000000007</v>
      </c>
      <c r="P97" s="173">
        <v>9.7799999999999994</v>
      </c>
      <c r="Q97" s="173">
        <v>0.02</v>
      </c>
      <c r="R97" s="173">
        <v>0</v>
      </c>
      <c r="S97" s="173">
        <v>5.24</v>
      </c>
      <c r="T97" s="173">
        <v>0.87</v>
      </c>
    </row>
    <row r="98" spans="2:20" s="176" customFormat="1" ht="18" customHeight="1" x14ac:dyDescent="0.3">
      <c r="B98" s="185" t="s">
        <v>240</v>
      </c>
      <c r="C98" s="192"/>
      <c r="D98" s="186"/>
      <c r="E98" s="178">
        <f>E96+204</f>
        <v>304</v>
      </c>
      <c r="F98" s="178">
        <f>F96+F97</f>
        <v>13.34</v>
      </c>
      <c r="G98" s="178">
        <f t="shared" ref="G98:T98" si="18">G96+G97</f>
        <v>6.1199999999999992</v>
      </c>
      <c r="H98" s="178">
        <f t="shared" si="18"/>
        <v>64.8</v>
      </c>
      <c r="I98" s="178">
        <f t="shared" si="18"/>
        <v>368.5</v>
      </c>
      <c r="J98" s="178">
        <f t="shared" si="18"/>
        <v>0.14000000000000001</v>
      </c>
      <c r="K98" s="178">
        <f t="shared" si="18"/>
        <v>0.19</v>
      </c>
      <c r="L98" s="178">
        <f t="shared" si="18"/>
        <v>3.08</v>
      </c>
      <c r="M98" s="178">
        <f t="shared" si="18"/>
        <v>0.14000000000000001</v>
      </c>
      <c r="N98" s="178">
        <f t="shared" si="18"/>
        <v>0.06</v>
      </c>
      <c r="O98" s="178">
        <f t="shared" si="18"/>
        <v>83.85</v>
      </c>
      <c r="P98" s="178">
        <f t="shared" si="18"/>
        <v>149.78</v>
      </c>
      <c r="Q98" s="178">
        <f t="shared" si="18"/>
        <v>0.02</v>
      </c>
      <c r="R98" s="178">
        <f t="shared" si="18"/>
        <v>0</v>
      </c>
      <c r="S98" s="178">
        <f t="shared" si="18"/>
        <v>39.840000000000003</v>
      </c>
      <c r="T98" s="178">
        <f t="shared" si="18"/>
        <v>2.39</v>
      </c>
    </row>
    <row r="99" spans="2:20" s="176" customFormat="1" ht="18" customHeight="1" x14ac:dyDescent="0.3">
      <c r="B99" s="350" t="s">
        <v>226</v>
      </c>
      <c r="C99" s="350"/>
      <c r="D99" s="350"/>
      <c r="E99" s="350"/>
      <c r="F99" s="179">
        <f>F98/F101</f>
        <v>0.14822222222222223</v>
      </c>
      <c r="G99" s="179">
        <f t="shared" ref="G99:T99" si="19">G98/G101</f>
        <v>6.652173913043477E-2</v>
      </c>
      <c r="H99" s="179">
        <f t="shared" si="19"/>
        <v>0.1691906005221932</v>
      </c>
      <c r="I99" s="179">
        <f t="shared" si="19"/>
        <v>0.13547794117647058</v>
      </c>
      <c r="J99" s="179">
        <f t="shared" si="19"/>
        <v>0.10000000000000002</v>
      </c>
      <c r="K99" s="179">
        <f t="shared" si="19"/>
        <v>0.11874999999999999</v>
      </c>
      <c r="L99" s="179">
        <f t="shared" si="19"/>
        <v>4.4000000000000004E-2</v>
      </c>
      <c r="M99" s="179">
        <f t="shared" si="19"/>
        <v>0.15555555555555556</v>
      </c>
      <c r="N99" s="179">
        <f t="shared" si="19"/>
        <v>5.0000000000000001E-3</v>
      </c>
      <c r="O99" s="179">
        <f t="shared" si="19"/>
        <v>6.9874999999999993E-2</v>
      </c>
      <c r="P99" s="179">
        <f t="shared" si="19"/>
        <v>0.12481666666666667</v>
      </c>
      <c r="Q99" s="179">
        <f t="shared" si="19"/>
        <v>1.4285714285714286E-3</v>
      </c>
      <c r="R99" s="179">
        <f t="shared" si="19"/>
        <v>0</v>
      </c>
      <c r="S99" s="179">
        <f t="shared" si="19"/>
        <v>0.1328</v>
      </c>
      <c r="T99" s="179">
        <f t="shared" si="19"/>
        <v>0.13277777777777777</v>
      </c>
    </row>
    <row r="100" spans="2:20" s="176" customFormat="1" ht="18" customHeight="1" x14ac:dyDescent="0.3">
      <c r="B100" s="350" t="s">
        <v>241</v>
      </c>
      <c r="C100" s="350"/>
      <c r="D100" s="350"/>
      <c r="E100" s="350"/>
      <c r="F100" s="178">
        <f>F98+F93+F83</f>
        <v>80.34</v>
      </c>
      <c r="G100" s="178">
        <f t="shared" ref="G100:T100" si="20">G98+G93+G83</f>
        <v>63.399999999999991</v>
      </c>
      <c r="H100" s="178">
        <f t="shared" si="20"/>
        <v>265.80000000000007</v>
      </c>
      <c r="I100" s="178">
        <f t="shared" si="20"/>
        <v>1955.76</v>
      </c>
      <c r="J100" s="178">
        <f t="shared" si="20"/>
        <v>1.4800000000000002</v>
      </c>
      <c r="K100" s="178">
        <f t="shared" si="20"/>
        <v>1.6230000000000002</v>
      </c>
      <c r="L100" s="178">
        <f t="shared" si="20"/>
        <v>56.58</v>
      </c>
      <c r="M100" s="178">
        <f t="shared" si="20"/>
        <v>0.7621</v>
      </c>
      <c r="N100" s="178">
        <f t="shared" si="20"/>
        <v>9.5250000000000004</v>
      </c>
      <c r="O100" s="178">
        <f t="shared" si="20"/>
        <v>553.76</v>
      </c>
      <c r="P100" s="178">
        <f t="shared" si="20"/>
        <v>1077.95</v>
      </c>
      <c r="Q100" s="178">
        <f t="shared" si="20"/>
        <v>1.9589999999999999</v>
      </c>
      <c r="R100" s="178">
        <f t="shared" si="20"/>
        <v>6.9000000000000006E-2</v>
      </c>
      <c r="S100" s="178">
        <f t="shared" si="20"/>
        <v>240.17000000000002</v>
      </c>
      <c r="T100" s="178">
        <f t="shared" si="20"/>
        <v>13.58</v>
      </c>
    </row>
    <row r="101" spans="2:20" s="176" customFormat="1" ht="18" customHeight="1" x14ac:dyDescent="0.3">
      <c r="B101" s="350" t="s">
        <v>242</v>
      </c>
      <c r="C101" s="350"/>
      <c r="D101" s="350"/>
      <c r="E101" s="350"/>
      <c r="F101" s="177">
        <v>90</v>
      </c>
      <c r="G101" s="177">
        <v>92</v>
      </c>
      <c r="H101" s="177">
        <v>383</v>
      </c>
      <c r="I101" s="177">
        <v>2720</v>
      </c>
      <c r="J101" s="177">
        <v>1.4</v>
      </c>
      <c r="K101" s="177">
        <v>1.6</v>
      </c>
      <c r="L101" s="177">
        <v>70</v>
      </c>
      <c r="M101" s="177">
        <v>0.9</v>
      </c>
      <c r="N101" s="177">
        <v>12</v>
      </c>
      <c r="O101" s="177">
        <v>1200</v>
      </c>
      <c r="P101" s="177">
        <v>1200</v>
      </c>
      <c r="Q101" s="177">
        <v>14</v>
      </c>
      <c r="R101" s="177">
        <v>0.1</v>
      </c>
      <c r="S101" s="177">
        <v>300</v>
      </c>
      <c r="T101" s="177">
        <v>18</v>
      </c>
    </row>
    <row r="102" spans="2:20" s="176" customFormat="1" ht="18" customHeight="1" x14ac:dyDescent="0.3">
      <c r="B102" s="350" t="s">
        <v>226</v>
      </c>
      <c r="C102" s="350"/>
      <c r="D102" s="350"/>
      <c r="E102" s="350"/>
      <c r="F102" s="179">
        <f>F100/F101</f>
        <v>0.89266666666666672</v>
      </c>
      <c r="G102" s="179">
        <f t="shared" ref="G102:T102" si="21">G100/G101</f>
        <v>0.6891304347826086</v>
      </c>
      <c r="H102" s="179">
        <f t="shared" si="21"/>
        <v>0.69399477806788534</v>
      </c>
      <c r="I102" s="179">
        <f t="shared" si="21"/>
        <v>0.71902941176470592</v>
      </c>
      <c r="J102" s="179">
        <f t="shared" si="21"/>
        <v>1.0571428571428574</v>
      </c>
      <c r="K102" s="179">
        <f t="shared" si="21"/>
        <v>1.014375</v>
      </c>
      <c r="L102" s="179">
        <f t="shared" si="21"/>
        <v>0.80828571428571427</v>
      </c>
      <c r="M102" s="179">
        <f t="shared" si="21"/>
        <v>0.84677777777777774</v>
      </c>
      <c r="N102" s="179">
        <f t="shared" si="21"/>
        <v>0.79375000000000007</v>
      </c>
      <c r="O102" s="179">
        <f t="shared" si="21"/>
        <v>0.46146666666666664</v>
      </c>
      <c r="P102" s="179">
        <f t="shared" si="21"/>
        <v>0.89829166666666671</v>
      </c>
      <c r="Q102" s="179">
        <f t="shared" si="21"/>
        <v>0.13992857142857143</v>
      </c>
      <c r="R102" s="179">
        <f t="shared" si="21"/>
        <v>0.69000000000000006</v>
      </c>
      <c r="S102" s="179">
        <f t="shared" si="21"/>
        <v>0.80056666666666676</v>
      </c>
      <c r="T102" s="179">
        <f t="shared" si="21"/>
        <v>0.75444444444444447</v>
      </c>
    </row>
    <row r="103" spans="2:20" s="176" customFormat="1" ht="18" customHeight="1" x14ac:dyDescent="0.3">
      <c r="B103" s="253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372" t="s">
        <v>187</v>
      </c>
      <c r="N103" s="372"/>
      <c r="O103" s="372"/>
      <c r="P103" s="372"/>
      <c r="Q103" s="372"/>
      <c r="R103" s="372"/>
      <c r="S103" s="372"/>
      <c r="T103" s="372"/>
    </row>
    <row r="104" spans="2:20" s="176" customFormat="1" ht="18" customHeight="1" x14ac:dyDescent="0.3">
      <c r="B104" s="355" t="s">
        <v>275</v>
      </c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</row>
    <row r="105" spans="2:20" s="176" customFormat="1" ht="18" customHeight="1" x14ac:dyDescent="0.3">
      <c r="B105" s="350" t="s">
        <v>189</v>
      </c>
      <c r="C105" s="350"/>
      <c r="D105" s="177"/>
      <c r="E105" s="177"/>
      <c r="F105" s="177"/>
      <c r="G105" s="372" t="s">
        <v>276</v>
      </c>
      <c r="H105" s="372"/>
      <c r="I105" s="372"/>
      <c r="J105" s="177"/>
      <c r="K105" s="177"/>
      <c r="L105" s="350" t="s">
        <v>191</v>
      </c>
      <c r="M105" s="350"/>
      <c r="N105" s="372" t="s">
        <v>192</v>
      </c>
      <c r="O105" s="372"/>
      <c r="P105" s="372"/>
      <c r="Q105" s="372"/>
      <c r="R105" s="177"/>
      <c r="S105" s="177"/>
      <c r="T105" s="177"/>
    </row>
    <row r="106" spans="2:20" s="176" customFormat="1" ht="18" customHeight="1" x14ac:dyDescent="0.3">
      <c r="B106" s="177"/>
      <c r="C106" s="177"/>
      <c r="D106" s="177"/>
      <c r="E106" s="355" t="s">
        <v>194</v>
      </c>
      <c r="F106" s="355"/>
      <c r="G106" s="177">
        <v>1</v>
      </c>
      <c r="H106" s="177"/>
      <c r="I106" s="177"/>
      <c r="J106" s="177"/>
      <c r="K106" s="177"/>
      <c r="L106" s="350" t="s">
        <v>195</v>
      </c>
      <c r="M106" s="350"/>
      <c r="N106" s="372" t="s">
        <v>347</v>
      </c>
      <c r="O106" s="372"/>
      <c r="P106" s="372"/>
      <c r="Q106" s="372"/>
      <c r="R106" s="372"/>
      <c r="S106" s="372"/>
      <c r="T106" s="372"/>
    </row>
    <row r="107" spans="2:20" s="176" customFormat="1" ht="18" customHeight="1" x14ac:dyDescent="0.3">
      <c r="B107" s="255" t="s">
        <v>0</v>
      </c>
      <c r="C107" s="378" t="s">
        <v>198</v>
      </c>
      <c r="D107" s="378"/>
      <c r="E107" s="378" t="s">
        <v>199</v>
      </c>
      <c r="F107" s="378" t="s">
        <v>200</v>
      </c>
      <c r="G107" s="378"/>
      <c r="H107" s="378"/>
      <c r="I107" s="255" t="s">
        <v>201</v>
      </c>
      <c r="J107" s="378" t="s">
        <v>202</v>
      </c>
      <c r="K107" s="378"/>
      <c r="L107" s="378"/>
      <c r="M107" s="378"/>
      <c r="N107" s="378"/>
      <c r="O107" s="378" t="s">
        <v>203</v>
      </c>
      <c r="P107" s="378"/>
      <c r="Q107" s="378"/>
      <c r="R107" s="378"/>
      <c r="S107" s="378"/>
      <c r="T107" s="378"/>
    </row>
    <row r="108" spans="2:20" s="176" customFormat="1" ht="18" customHeight="1" x14ac:dyDescent="0.3">
      <c r="B108" s="255" t="s">
        <v>245</v>
      </c>
      <c r="C108" s="378"/>
      <c r="D108" s="378"/>
      <c r="E108" s="378"/>
      <c r="F108" s="255" t="s">
        <v>204</v>
      </c>
      <c r="G108" s="255" t="s">
        <v>205</v>
      </c>
      <c r="H108" s="255" t="s">
        <v>206</v>
      </c>
      <c r="I108" s="255" t="s">
        <v>207</v>
      </c>
      <c r="J108" s="255" t="s">
        <v>208</v>
      </c>
      <c r="K108" s="255" t="s">
        <v>209</v>
      </c>
      <c r="L108" s="255" t="s">
        <v>210</v>
      </c>
      <c r="M108" s="255" t="s">
        <v>211</v>
      </c>
      <c r="N108" s="255" t="s">
        <v>212</v>
      </c>
      <c r="O108" s="255" t="s">
        <v>213</v>
      </c>
      <c r="P108" s="255" t="s">
        <v>214</v>
      </c>
      <c r="Q108" s="255" t="s">
        <v>215</v>
      </c>
      <c r="R108" s="255" t="s">
        <v>216</v>
      </c>
      <c r="S108" s="255" t="s">
        <v>217</v>
      </c>
      <c r="T108" s="255" t="s">
        <v>218</v>
      </c>
    </row>
    <row r="109" spans="2:20" s="176" customFormat="1" ht="18" customHeight="1" x14ac:dyDescent="0.3">
      <c r="B109" s="183">
        <v>1</v>
      </c>
      <c r="C109" s="373">
        <v>2</v>
      </c>
      <c r="D109" s="373"/>
      <c r="E109" s="183">
        <v>3</v>
      </c>
      <c r="F109" s="183">
        <v>4</v>
      </c>
      <c r="G109" s="183">
        <v>5</v>
      </c>
      <c r="H109" s="183">
        <v>6</v>
      </c>
      <c r="I109" s="183">
        <v>7</v>
      </c>
      <c r="J109" s="183">
        <v>8</v>
      </c>
      <c r="K109" s="183">
        <v>9</v>
      </c>
      <c r="L109" s="183">
        <v>10</v>
      </c>
      <c r="M109" s="183">
        <v>11</v>
      </c>
      <c r="N109" s="183">
        <v>12</v>
      </c>
      <c r="O109" s="183">
        <v>13</v>
      </c>
      <c r="P109" s="183">
        <v>14</v>
      </c>
      <c r="Q109" s="183">
        <v>15</v>
      </c>
      <c r="R109" s="183">
        <v>16</v>
      </c>
      <c r="S109" s="183">
        <v>17</v>
      </c>
      <c r="T109" s="183">
        <v>18</v>
      </c>
    </row>
    <row r="110" spans="2:20" s="176" customFormat="1" ht="18" customHeight="1" x14ac:dyDescent="0.3">
      <c r="B110" s="355" t="s">
        <v>246</v>
      </c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</row>
    <row r="111" spans="2:20" s="176" customFormat="1" ht="18" customHeight="1" x14ac:dyDescent="0.3">
      <c r="B111" s="173">
        <v>338</v>
      </c>
      <c r="C111" s="359" t="s">
        <v>277</v>
      </c>
      <c r="D111" s="359"/>
      <c r="E111" s="173">
        <v>100</v>
      </c>
      <c r="F111" s="173">
        <v>0.4</v>
      </c>
      <c r="G111" s="173">
        <v>0.3</v>
      </c>
      <c r="H111" s="173">
        <v>10.3</v>
      </c>
      <c r="I111" s="173">
        <v>45.5</v>
      </c>
      <c r="J111" s="173">
        <v>0.04</v>
      </c>
      <c r="K111" s="173">
        <v>0.02</v>
      </c>
      <c r="L111" s="173">
        <v>5</v>
      </c>
      <c r="M111" s="173">
        <v>0.01</v>
      </c>
      <c r="N111" s="173">
        <v>0.2</v>
      </c>
      <c r="O111" s="173">
        <v>19</v>
      </c>
      <c r="P111" s="173">
        <v>11</v>
      </c>
      <c r="Q111" s="173">
        <v>0.03</v>
      </c>
      <c r="R111" s="173">
        <v>0</v>
      </c>
      <c r="S111" s="173">
        <v>12</v>
      </c>
      <c r="T111" s="173">
        <v>2.2999999999999998</v>
      </c>
    </row>
    <row r="112" spans="2:20" s="176" customFormat="1" ht="18" customHeight="1" x14ac:dyDescent="0.3">
      <c r="B112" s="213">
        <v>260</v>
      </c>
      <c r="C112" s="371" t="s">
        <v>232</v>
      </c>
      <c r="D112" s="371"/>
      <c r="E112" s="213">
        <v>100</v>
      </c>
      <c r="F112" s="213">
        <v>12.55</v>
      </c>
      <c r="G112" s="213">
        <v>12.99</v>
      </c>
      <c r="H112" s="213">
        <v>4.01</v>
      </c>
      <c r="I112" s="213">
        <v>182.25</v>
      </c>
      <c r="J112" s="213">
        <v>7.0000000000000007E-2</v>
      </c>
      <c r="K112" s="213">
        <v>0.11</v>
      </c>
      <c r="L112" s="213">
        <v>5.07</v>
      </c>
      <c r="M112" s="213">
        <v>1.49</v>
      </c>
      <c r="N112" s="213">
        <v>2.25</v>
      </c>
      <c r="O112" s="213">
        <v>30.52</v>
      </c>
      <c r="P112" s="213">
        <v>119.19</v>
      </c>
      <c r="Q112" s="213"/>
      <c r="R112" s="213"/>
      <c r="S112" s="213">
        <v>24.03</v>
      </c>
      <c r="T112" s="213">
        <v>2.1</v>
      </c>
    </row>
    <row r="113" spans="2:20" s="176" customFormat="1" ht="18" customHeight="1" x14ac:dyDescent="0.3">
      <c r="B113" s="177">
        <v>309</v>
      </c>
      <c r="C113" s="352" t="s">
        <v>349</v>
      </c>
      <c r="D113" s="352"/>
      <c r="E113" s="177">
        <v>180</v>
      </c>
      <c r="F113" s="177">
        <v>6.62</v>
      </c>
      <c r="G113" s="177">
        <v>5.42</v>
      </c>
      <c r="H113" s="177">
        <v>31.74</v>
      </c>
      <c r="I113" s="177">
        <v>202.3</v>
      </c>
      <c r="J113" s="177">
        <v>0.108</v>
      </c>
      <c r="K113" s="177">
        <v>3.5999999999999997E-2</v>
      </c>
      <c r="L113" s="177">
        <v>0</v>
      </c>
      <c r="M113" s="177">
        <v>3.5999999999999997E-2</v>
      </c>
      <c r="N113" s="177">
        <v>1.5</v>
      </c>
      <c r="O113" s="177">
        <v>15.94</v>
      </c>
      <c r="P113" s="177">
        <v>55.45</v>
      </c>
      <c r="Q113" s="177">
        <v>0.94</v>
      </c>
      <c r="R113" s="177">
        <v>2E-3</v>
      </c>
      <c r="S113" s="177">
        <v>10.16</v>
      </c>
      <c r="T113" s="177">
        <v>0.86</v>
      </c>
    </row>
    <row r="114" spans="2:20" s="176" customFormat="1" ht="18" customHeight="1" x14ac:dyDescent="0.3">
      <c r="B114" s="177">
        <v>377</v>
      </c>
      <c r="C114" s="352" t="s">
        <v>149</v>
      </c>
      <c r="D114" s="352"/>
      <c r="E114" s="177" t="s">
        <v>234</v>
      </c>
      <c r="F114" s="177">
        <v>0.26</v>
      </c>
      <c r="G114" s="177">
        <v>0.06</v>
      </c>
      <c r="H114" s="177">
        <v>15.22</v>
      </c>
      <c r="I114" s="177">
        <v>62.5</v>
      </c>
      <c r="J114" s="177"/>
      <c r="K114" s="177">
        <v>0.01</v>
      </c>
      <c r="L114" s="177">
        <v>2.9</v>
      </c>
      <c r="M114" s="177">
        <v>0</v>
      </c>
      <c r="N114" s="177">
        <v>0.06</v>
      </c>
      <c r="O114" s="177">
        <v>8.0500000000000007</v>
      </c>
      <c r="P114" s="177">
        <v>9.7799999999999994</v>
      </c>
      <c r="Q114" s="177">
        <v>1.7000000000000001E-2</v>
      </c>
      <c r="R114" s="177">
        <v>0</v>
      </c>
      <c r="S114" s="177">
        <v>5.24</v>
      </c>
      <c r="T114" s="177">
        <v>0.87</v>
      </c>
    </row>
    <row r="115" spans="2:20" s="176" customFormat="1" ht="18" customHeight="1" x14ac:dyDescent="0.3">
      <c r="B115" s="177" t="s">
        <v>224</v>
      </c>
      <c r="C115" s="352" t="s">
        <v>161</v>
      </c>
      <c r="D115" s="352"/>
      <c r="E115" s="177">
        <v>40</v>
      </c>
      <c r="F115" s="177">
        <v>3.04</v>
      </c>
      <c r="G115" s="177">
        <v>0.32</v>
      </c>
      <c r="H115" s="177">
        <v>19.68</v>
      </c>
      <c r="I115" s="177">
        <v>93.8</v>
      </c>
      <c r="J115" s="177">
        <v>0.04</v>
      </c>
      <c r="K115" s="177">
        <v>0.01</v>
      </c>
      <c r="L115" s="177">
        <v>0.88</v>
      </c>
      <c r="M115" s="177">
        <v>0</v>
      </c>
      <c r="N115" s="177">
        <v>0.7</v>
      </c>
      <c r="O115" s="177">
        <v>8</v>
      </c>
      <c r="P115" s="177">
        <v>26</v>
      </c>
      <c r="Q115" s="177">
        <v>8.0000000000000002E-3</v>
      </c>
      <c r="R115" s="177">
        <v>3.0000000000000001E-3</v>
      </c>
      <c r="S115" s="177">
        <v>0</v>
      </c>
      <c r="T115" s="177">
        <v>0.44</v>
      </c>
    </row>
    <row r="116" spans="2:20" s="176" customFormat="1" ht="18" customHeight="1" x14ac:dyDescent="0.3">
      <c r="B116" s="356" t="s">
        <v>251</v>
      </c>
      <c r="C116" s="357"/>
      <c r="D116" s="358"/>
      <c r="E116" s="178">
        <f>E111+E112+E113+E115+204</f>
        <v>624</v>
      </c>
      <c r="F116" s="178">
        <f>SUM(F111:F115)</f>
        <v>22.87</v>
      </c>
      <c r="G116" s="178">
        <f t="shared" ref="G116:T116" si="22">SUM(G111:G115)</f>
        <v>19.09</v>
      </c>
      <c r="H116" s="178">
        <f t="shared" si="22"/>
        <v>80.949999999999989</v>
      </c>
      <c r="I116" s="178">
        <f t="shared" si="22"/>
        <v>586.35</v>
      </c>
      <c r="J116" s="178">
        <f t="shared" si="22"/>
        <v>0.25800000000000001</v>
      </c>
      <c r="K116" s="178">
        <f t="shared" si="22"/>
        <v>0.18600000000000003</v>
      </c>
      <c r="L116" s="178">
        <f t="shared" si="22"/>
        <v>13.850000000000001</v>
      </c>
      <c r="M116" s="178">
        <f t="shared" si="22"/>
        <v>1.536</v>
      </c>
      <c r="N116" s="178">
        <f t="shared" si="22"/>
        <v>4.71</v>
      </c>
      <c r="O116" s="178">
        <f t="shared" si="22"/>
        <v>81.509999999999991</v>
      </c>
      <c r="P116" s="178">
        <f t="shared" si="22"/>
        <v>221.42</v>
      </c>
      <c r="Q116" s="178">
        <f t="shared" si="22"/>
        <v>0.995</v>
      </c>
      <c r="R116" s="178">
        <f t="shared" si="22"/>
        <v>5.0000000000000001E-3</v>
      </c>
      <c r="S116" s="178">
        <f t="shared" si="22"/>
        <v>51.43</v>
      </c>
      <c r="T116" s="178">
        <f t="shared" si="22"/>
        <v>6.5700000000000012</v>
      </c>
    </row>
    <row r="117" spans="2:20" s="176" customFormat="1" ht="18" customHeight="1" x14ac:dyDescent="0.3">
      <c r="B117" s="350" t="s">
        <v>226</v>
      </c>
      <c r="C117" s="350"/>
      <c r="D117" s="350"/>
      <c r="E117" s="350"/>
      <c r="F117" s="179">
        <f t="shared" ref="F117:T117" si="23">F116/F134</f>
        <v>0.25411111111111112</v>
      </c>
      <c r="G117" s="179">
        <f t="shared" si="23"/>
        <v>0.20749999999999999</v>
      </c>
      <c r="H117" s="179">
        <f t="shared" si="23"/>
        <v>0.21135770234986942</v>
      </c>
      <c r="I117" s="179">
        <f t="shared" si="23"/>
        <v>0.21556985294117648</v>
      </c>
      <c r="J117" s="179">
        <f t="shared" si="23"/>
        <v>0.1842857142857143</v>
      </c>
      <c r="K117" s="179">
        <f t="shared" si="23"/>
        <v>0.11625000000000001</v>
      </c>
      <c r="L117" s="179">
        <f t="shared" si="23"/>
        <v>0.19785714285714287</v>
      </c>
      <c r="M117" s="179">
        <f t="shared" si="23"/>
        <v>1.7066666666666666</v>
      </c>
      <c r="N117" s="179">
        <f t="shared" si="23"/>
        <v>0.39250000000000002</v>
      </c>
      <c r="O117" s="179">
        <f t="shared" si="23"/>
        <v>6.7924999999999999E-2</v>
      </c>
      <c r="P117" s="179">
        <f t="shared" si="23"/>
        <v>0.18451666666666666</v>
      </c>
      <c r="Q117" s="179">
        <f t="shared" si="23"/>
        <v>7.1071428571428577E-2</v>
      </c>
      <c r="R117" s="179">
        <f t="shared" si="23"/>
        <v>4.9999999999999996E-2</v>
      </c>
      <c r="S117" s="179">
        <f t="shared" si="23"/>
        <v>0.17143333333333333</v>
      </c>
      <c r="T117" s="179">
        <f t="shared" si="23"/>
        <v>0.36500000000000005</v>
      </c>
    </row>
    <row r="118" spans="2:20" s="176" customFormat="1" ht="18" customHeight="1" x14ac:dyDescent="0.3">
      <c r="B118" s="355" t="s">
        <v>227</v>
      </c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</row>
    <row r="119" spans="2:20" s="176" customFormat="1" ht="18" customHeight="1" x14ac:dyDescent="0.3">
      <c r="B119" s="173">
        <v>115</v>
      </c>
      <c r="C119" s="359" t="s">
        <v>279</v>
      </c>
      <c r="D119" s="359"/>
      <c r="E119" s="177">
        <v>100</v>
      </c>
      <c r="F119" s="177">
        <v>1.9</v>
      </c>
      <c r="G119" s="177">
        <v>8.9</v>
      </c>
      <c r="H119" s="177">
        <v>7.7</v>
      </c>
      <c r="I119" s="177">
        <v>119</v>
      </c>
      <c r="J119" s="177">
        <v>0.02</v>
      </c>
      <c r="K119" s="177">
        <v>0</v>
      </c>
      <c r="L119" s="177">
        <v>7</v>
      </c>
      <c r="M119" s="177">
        <v>0.02</v>
      </c>
      <c r="N119" s="177"/>
      <c r="O119" s="177">
        <v>41</v>
      </c>
      <c r="P119" s="177">
        <v>37</v>
      </c>
      <c r="Q119" s="177"/>
      <c r="R119" s="177">
        <v>0</v>
      </c>
      <c r="S119" s="177">
        <v>15</v>
      </c>
      <c r="T119" s="177">
        <v>0.7</v>
      </c>
    </row>
    <row r="120" spans="2:20" s="176" customFormat="1" ht="26.25" customHeight="1" x14ac:dyDescent="0.3">
      <c r="B120" s="173">
        <v>96</v>
      </c>
      <c r="C120" s="359" t="s">
        <v>280</v>
      </c>
      <c r="D120" s="359"/>
      <c r="E120" s="177">
        <v>250</v>
      </c>
      <c r="F120" s="177">
        <v>2.6</v>
      </c>
      <c r="G120" s="177">
        <v>6.1</v>
      </c>
      <c r="H120" s="177">
        <v>17</v>
      </c>
      <c r="I120" s="177">
        <v>133.69999999999999</v>
      </c>
      <c r="J120" s="177">
        <v>0.12</v>
      </c>
      <c r="K120" s="177">
        <v>7.3999999999999996E-2</v>
      </c>
      <c r="L120" s="177">
        <v>16</v>
      </c>
      <c r="M120" s="177">
        <v>0.04</v>
      </c>
      <c r="N120" s="177">
        <v>0</v>
      </c>
      <c r="O120" s="177">
        <v>25.3</v>
      </c>
      <c r="P120" s="177">
        <v>71.099999999999994</v>
      </c>
      <c r="Q120" s="177">
        <v>0</v>
      </c>
      <c r="R120" s="177">
        <v>0</v>
      </c>
      <c r="S120" s="177">
        <v>26.7</v>
      </c>
      <c r="T120" s="177">
        <v>0.95</v>
      </c>
    </row>
    <row r="121" spans="2:20" s="176" customFormat="1" ht="18" customHeight="1" x14ac:dyDescent="0.3">
      <c r="B121" s="177">
        <v>266</v>
      </c>
      <c r="C121" s="352" t="s">
        <v>350</v>
      </c>
      <c r="D121" s="352"/>
      <c r="E121" s="177">
        <v>100</v>
      </c>
      <c r="F121" s="177">
        <v>18.5</v>
      </c>
      <c r="G121" s="177">
        <v>25.9</v>
      </c>
      <c r="H121" s="177">
        <v>4.8</v>
      </c>
      <c r="I121" s="177">
        <v>326</v>
      </c>
      <c r="J121" s="177">
        <v>0.23</v>
      </c>
      <c r="K121" s="177">
        <v>0.26300000000000001</v>
      </c>
      <c r="L121" s="177">
        <v>0.5</v>
      </c>
      <c r="M121" s="177">
        <v>0.05</v>
      </c>
      <c r="N121" s="177">
        <v>7.4999999999999997E-2</v>
      </c>
      <c r="O121" s="177">
        <v>60.6</v>
      </c>
      <c r="P121" s="177">
        <v>222.4</v>
      </c>
      <c r="Q121" s="177">
        <v>2.85</v>
      </c>
      <c r="R121" s="177">
        <v>0.05</v>
      </c>
      <c r="S121" s="177">
        <v>30.6</v>
      </c>
      <c r="T121" s="177">
        <v>2.41</v>
      </c>
    </row>
    <row r="122" spans="2:20" s="176" customFormat="1" ht="29.25" customHeight="1" x14ac:dyDescent="0.3">
      <c r="B122" s="177">
        <v>312</v>
      </c>
      <c r="C122" s="352" t="s">
        <v>256</v>
      </c>
      <c r="D122" s="352"/>
      <c r="E122" s="177">
        <v>180</v>
      </c>
      <c r="F122" s="177">
        <v>3.95</v>
      </c>
      <c r="G122" s="177">
        <v>8.4700000000000006</v>
      </c>
      <c r="H122" s="177">
        <v>26.65</v>
      </c>
      <c r="I122" s="177">
        <v>198.65</v>
      </c>
      <c r="J122" s="177">
        <v>0.19</v>
      </c>
      <c r="K122" s="177">
        <v>0.16</v>
      </c>
      <c r="L122" s="177">
        <v>31.33</v>
      </c>
      <c r="M122" s="177">
        <v>9.6000000000000002E-2</v>
      </c>
      <c r="N122" s="177">
        <v>1.8</v>
      </c>
      <c r="O122" s="177">
        <v>51.05</v>
      </c>
      <c r="P122" s="177">
        <v>117.3</v>
      </c>
      <c r="Q122" s="177">
        <v>0.35899999999999999</v>
      </c>
      <c r="R122" s="177">
        <v>1E-3</v>
      </c>
      <c r="S122" s="177">
        <v>39.67</v>
      </c>
      <c r="T122" s="177">
        <v>1.43</v>
      </c>
    </row>
    <row r="123" spans="2:20" s="176" customFormat="1" ht="28.5" customHeight="1" x14ac:dyDescent="0.3">
      <c r="B123" s="177">
        <v>349</v>
      </c>
      <c r="C123" s="352" t="s">
        <v>351</v>
      </c>
      <c r="D123" s="352"/>
      <c r="E123" s="177">
        <v>200</v>
      </c>
      <c r="F123" s="177">
        <v>0.22</v>
      </c>
      <c r="G123" s="177"/>
      <c r="H123" s="177">
        <v>24.42</v>
      </c>
      <c r="I123" s="177">
        <v>98.56</v>
      </c>
      <c r="J123" s="177"/>
      <c r="K123" s="177"/>
      <c r="L123" s="177">
        <v>0.2</v>
      </c>
      <c r="M123" s="177"/>
      <c r="N123" s="177"/>
      <c r="O123" s="177">
        <v>22.6</v>
      </c>
      <c r="P123" s="177">
        <v>7.7</v>
      </c>
      <c r="Q123" s="177">
        <v>0</v>
      </c>
      <c r="R123" s="177">
        <v>0</v>
      </c>
      <c r="S123" s="177">
        <v>3</v>
      </c>
      <c r="T123" s="177">
        <v>0.66</v>
      </c>
    </row>
    <row r="124" spans="2:20" s="176" customFormat="1" ht="18" customHeight="1" x14ac:dyDescent="0.3">
      <c r="B124" s="177" t="s">
        <v>224</v>
      </c>
      <c r="C124" s="352" t="s">
        <v>235</v>
      </c>
      <c r="D124" s="352"/>
      <c r="E124" s="177">
        <v>40</v>
      </c>
      <c r="F124" s="177">
        <v>2.64</v>
      </c>
      <c r="G124" s="177">
        <v>0.48</v>
      </c>
      <c r="H124" s="177">
        <v>13.68</v>
      </c>
      <c r="I124" s="177">
        <v>69.599999999999994</v>
      </c>
      <c r="J124" s="177">
        <v>0.08</v>
      </c>
      <c r="K124" s="177">
        <v>0.04</v>
      </c>
      <c r="L124" s="177">
        <v>0</v>
      </c>
      <c r="M124" s="177">
        <v>0</v>
      </c>
      <c r="N124" s="177">
        <v>2.4</v>
      </c>
      <c r="O124" s="177">
        <v>14</v>
      </c>
      <c r="P124" s="177">
        <v>63.2</v>
      </c>
      <c r="Q124" s="177">
        <v>1.2</v>
      </c>
      <c r="R124" s="177">
        <v>1E-3</v>
      </c>
      <c r="S124" s="177">
        <v>9.4</v>
      </c>
      <c r="T124" s="177">
        <v>0.78</v>
      </c>
    </row>
    <row r="125" spans="2:20" s="176" customFormat="1" ht="18" customHeight="1" x14ac:dyDescent="0.3">
      <c r="B125" s="177" t="s">
        <v>224</v>
      </c>
      <c r="C125" s="352" t="s">
        <v>117</v>
      </c>
      <c r="D125" s="352"/>
      <c r="E125" s="177">
        <v>30</v>
      </c>
      <c r="F125" s="177">
        <v>1.52</v>
      </c>
      <c r="G125" s="177">
        <v>0.16</v>
      </c>
      <c r="H125" s="177">
        <v>9.84</v>
      </c>
      <c r="I125" s="177">
        <v>46.9</v>
      </c>
      <c r="J125" s="177">
        <v>0.02</v>
      </c>
      <c r="K125" s="177">
        <v>0.01</v>
      </c>
      <c r="L125" s="177">
        <v>0.44</v>
      </c>
      <c r="M125" s="177">
        <v>0</v>
      </c>
      <c r="N125" s="177">
        <v>0.7</v>
      </c>
      <c r="O125" s="177">
        <v>4</v>
      </c>
      <c r="P125" s="177">
        <v>13</v>
      </c>
      <c r="Q125" s="177">
        <v>8.0000000000000002E-3</v>
      </c>
      <c r="R125" s="177">
        <v>1E-3</v>
      </c>
      <c r="S125" s="177">
        <v>0</v>
      </c>
      <c r="T125" s="177">
        <v>0.22</v>
      </c>
    </row>
    <row r="126" spans="2:20" s="176" customFormat="1" ht="27.75" customHeight="1" x14ac:dyDescent="0.3">
      <c r="B126" s="350" t="s">
        <v>236</v>
      </c>
      <c r="C126" s="350"/>
      <c r="D126" s="350"/>
      <c r="E126" s="178">
        <f>SUM(E119:E125)</f>
        <v>900</v>
      </c>
      <c r="F126" s="178">
        <f t="shared" ref="F126:T126" si="24">SUM(F119:F125)</f>
        <v>31.33</v>
      </c>
      <c r="G126" s="178">
        <f t="shared" si="24"/>
        <v>50.009999999999991</v>
      </c>
      <c r="H126" s="178">
        <f t="shared" si="24"/>
        <v>104.09</v>
      </c>
      <c r="I126" s="178">
        <f t="shared" si="24"/>
        <v>992.41000000000008</v>
      </c>
      <c r="J126" s="178">
        <f t="shared" si="24"/>
        <v>0.66</v>
      </c>
      <c r="K126" s="178">
        <f t="shared" si="24"/>
        <v>0.54700000000000004</v>
      </c>
      <c r="L126" s="178">
        <f t="shared" si="24"/>
        <v>55.47</v>
      </c>
      <c r="M126" s="178">
        <f t="shared" si="24"/>
        <v>0.20600000000000002</v>
      </c>
      <c r="N126" s="178">
        <f t="shared" si="24"/>
        <v>4.9750000000000005</v>
      </c>
      <c r="O126" s="178">
        <f t="shared" si="24"/>
        <v>218.54999999999998</v>
      </c>
      <c r="P126" s="178">
        <f t="shared" si="24"/>
        <v>531.70000000000005</v>
      </c>
      <c r="Q126" s="178">
        <f t="shared" si="24"/>
        <v>4.4169999999999998</v>
      </c>
      <c r="R126" s="178">
        <f t="shared" si="24"/>
        <v>5.3000000000000005E-2</v>
      </c>
      <c r="S126" s="178">
        <f t="shared" si="24"/>
        <v>124.37000000000002</v>
      </c>
      <c r="T126" s="178">
        <f t="shared" si="24"/>
        <v>7.15</v>
      </c>
    </row>
    <row r="127" spans="2:20" s="176" customFormat="1" ht="18" customHeight="1" x14ac:dyDescent="0.3">
      <c r="B127" s="350" t="s">
        <v>226</v>
      </c>
      <c r="C127" s="350"/>
      <c r="D127" s="350"/>
      <c r="E127" s="350"/>
      <c r="F127" s="179">
        <f t="shared" ref="F127:T127" si="25">F126/F134</f>
        <v>0.34811111111111109</v>
      </c>
      <c r="G127" s="179">
        <f t="shared" si="25"/>
        <v>0.54358695652173905</v>
      </c>
      <c r="H127" s="179">
        <f t="shared" si="25"/>
        <v>0.27177545691906008</v>
      </c>
      <c r="I127" s="179">
        <f t="shared" si="25"/>
        <v>0.36485661764705885</v>
      </c>
      <c r="J127" s="179">
        <f t="shared" si="25"/>
        <v>0.47142857142857147</v>
      </c>
      <c r="K127" s="179">
        <f t="shared" si="25"/>
        <v>0.34187499999999998</v>
      </c>
      <c r="L127" s="179">
        <f t="shared" si="25"/>
        <v>0.79242857142857137</v>
      </c>
      <c r="M127" s="179">
        <f t="shared" si="25"/>
        <v>0.22888888888888889</v>
      </c>
      <c r="N127" s="179">
        <f t="shared" si="25"/>
        <v>0.41458333333333336</v>
      </c>
      <c r="O127" s="179">
        <f t="shared" si="25"/>
        <v>0.18212499999999998</v>
      </c>
      <c r="P127" s="179">
        <f t="shared" si="25"/>
        <v>0.44308333333333338</v>
      </c>
      <c r="Q127" s="179">
        <f t="shared" si="25"/>
        <v>0.3155</v>
      </c>
      <c r="R127" s="179">
        <f t="shared" si="25"/>
        <v>0.53</v>
      </c>
      <c r="S127" s="179">
        <f t="shared" si="25"/>
        <v>0.41456666666666675</v>
      </c>
      <c r="T127" s="179">
        <f t="shared" si="25"/>
        <v>0.39722222222222225</v>
      </c>
    </row>
    <row r="128" spans="2:20" s="176" customFormat="1" ht="18" customHeight="1" x14ac:dyDescent="0.3">
      <c r="B128" s="355" t="s">
        <v>237</v>
      </c>
      <c r="C128" s="355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</row>
    <row r="129" spans="2:20" s="176" customFormat="1" ht="18" customHeight="1" x14ac:dyDescent="0.3">
      <c r="B129" s="177" t="s">
        <v>224</v>
      </c>
      <c r="C129" s="352" t="s">
        <v>282</v>
      </c>
      <c r="D129" s="352"/>
      <c r="E129" s="177">
        <v>65</v>
      </c>
      <c r="F129" s="177">
        <v>4.16</v>
      </c>
      <c r="G129" s="177">
        <v>8.14</v>
      </c>
      <c r="H129" s="177">
        <v>33.799999999999997</v>
      </c>
      <c r="I129" s="177">
        <v>225.34</v>
      </c>
      <c r="J129" s="177">
        <v>0.06</v>
      </c>
      <c r="K129" s="177">
        <v>0.05</v>
      </c>
      <c r="L129" s="177">
        <v>0</v>
      </c>
      <c r="M129" s="177">
        <v>0.06</v>
      </c>
      <c r="N129" s="177"/>
      <c r="O129" s="177">
        <v>11.26</v>
      </c>
      <c r="P129" s="177">
        <v>0</v>
      </c>
      <c r="Q129" s="177"/>
      <c r="R129" s="177">
        <v>0</v>
      </c>
      <c r="S129" s="177">
        <v>0</v>
      </c>
      <c r="T129" s="177">
        <v>0.6</v>
      </c>
    </row>
    <row r="130" spans="2:20" s="176" customFormat="1" ht="18" customHeight="1" x14ac:dyDescent="0.3">
      <c r="B130" s="173">
        <v>389</v>
      </c>
      <c r="C130" s="359" t="s">
        <v>283</v>
      </c>
      <c r="D130" s="359"/>
      <c r="E130" s="173">
        <v>200</v>
      </c>
      <c r="F130" s="173">
        <v>1</v>
      </c>
      <c r="G130" s="173">
        <v>0.2</v>
      </c>
      <c r="H130" s="173">
        <v>20.2</v>
      </c>
      <c r="I130" s="173">
        <v>87</v>
      </c>
      <c r="J130" s="173">
        <v>0</v>
      </c>
      <c r="K130" s="173">
        <v>0.08</v>
      </c>
      <c r="L130" s="173">
        <v>4</v>
      </c>
      <c r="M130" s="173">
        <v>0</v>
      </c>
      <c r="N130" s="173">
        <v>0</v>
      </c>
      <c r="O130" s="173">
        <v>31.1</v>
      </c>
      <c r="P130" s="173">
        <v>18</v>
      </c>
      <c r="Q130" s="173">
        <v>0</v>
      </c>
      <c r="R130" s="173">
        <v>0</v>
      </c>
      <c r="S130" s="173">
        <v>8</v>
      </c>
      <c r="T130" s="173">
        <v>0.72</v>
      </c>
    </row>
    <row r="131" spans="2:20" s="176" customFormat="1" ht="18" customHeight="1" x14ac:dyDescent="0.3">
      <c r="B131" s="356" t="s">
        <v>240</v>
      </c>
      <c r="C131" s="357"/>
      <c r="D131" s="358"/>
      <c r="E131" s="178">
        <f>E129+E130</f>
        <v>265</v>
      </c>
      <c r="F131" s="178">
        <f t="shared" ref="F131:T131" si="26">F129+F130</f>
        <v>5.16</v>
      </c>
      <c r="G131" s="178">
        <f t="shared" si="26"/>
        <v>8.34</v>
      </c>
      <c r="H131" s="178">
        <f t="shared" si="26"/>
        <v>54</v>
      </c>
      <c r="I131" s="178">
        <f t="shared" si="26"/>
        <v>312.34000000000003</v>
      </c>
      <c r="J131" s="178">
        <f t="shared" si="26"/>
        <v>0.06</v>
      </c>
      <c r="K131" s="178">
        <f t="shared" si="26"/>
        <v>0.13</v>
      </c>
      <c r="L131" s="178">
        <f t="shared" si="26"/>
        <v>4</v>
      </c>
      <c r="M131" s="178">
        <f t="shared" si="26"/>
        <v>0.06</v>
      </c>
      <c r="N131" s="178">
        <f t="shared" si="26"/>
        <v>0</v>
      </c>
      <c r="O131" s="178">
        <f t="shared" si="26"/>
        <v>42.36</v>
      </c>
      <c r="P131" s="178">
        <f t="shared" si="26"/>
        <v>18</v>
      </c>
      <c r="Q131" s="178">
        <f t="shared" si="26"/>
        <v>0</v>
      </c>
      <c r="R131" s="178">
        <f t="shared" si="26"/>
        <v>0</v>
      </c>
      <c r="S131" s="178">
        <f t="shared" si="26"/>
        <v>8</v>
      </c>
      <c r="T131" s="178">
        <f t="shared" si="26"/>
        <v>1.3199999999999998</v>
      </c>
    </row>
    <row r="132" spans="2:20" s="176" customFormat="1" ht="18" customHeight="1" x14ac:dyDescent="0.3">
      <c r="B132" s="350" t="s">
        <v>226</v>
      </c>
      <c r="C132" s="350"/>
      <c r="D132" s="350"/>
      <c r="E132" s="350"/>
      <c r="F132" s="179">
        <f>F131/F134</f>
        <v>5.7333333333333333E-2</v>
      </c>
      <c r="G132" s="179">
        <f t="shared" ref="G132:T132" si="27">G131/G134</f>
        <v>9.0652173913043477E-2</v>
      </c>
      <c r="H132" s="179">
        <f t="shared" si="27"/>
        <v>0.14099216710182769</v>
      </c>
      <c r="I132" s="179">
        <f t="shared" si="27"/>
        <v>0.11483088235294119</v>
      </c>
      <c r="J132" s="179">
        <f t="shared" si="27"/>
        <v>4.2857142857142858E-2</v>
      </c>
      <c r="K132" s="179">
        <f t="shared" si="27"/>
        <v>8.1250000000000003E-2</v>
      </c>
      <c r="L132" s="179">
        <f t="shared" si="27"/>
        <v>5.7142857142857141E-2</v>
      </c>
      <c r="M132" s="179">
        <f t="shared" si="27"/>
        <v>6.6666666666666666E-2</v>
      </c>
      <c r="N132" s="179">
        <f t="shared" si="27"/>
        <v>0</v>
      </c>
      <c r="O132" s="179">
        <f t="shared" si="27"/>
        <v>3.5299999999999998E-2</v>
      </c>
      <c r="P132" s="179">
        <f t="shared" si="27"/>
        <v>1.4999999999999999E-2</v>
      </c>
      <c r="Q132" s="179">
        <f t="shared" si="27"/>
        <v>0</v>
      </c>
      <c r="R132" s="179">
        <f t="shared" si="27"/>
        <v>0</v>
      </c>
      <c r="S132" s="179">
        <f t="shared" si="27"/>
        <v>2.6666666666666668E-2</v>
      </c>
      <c r="T132" s="179">
        <f t="shared" si="27"/>
        <v>7.333333333333332E-2</v>
      </c>
    </row>
    <row r="133" spans="2:20" s="176" customFormat="1" ht="18" customHeight="1" x14ac:dyDescent="0.3">
      <c r="B133" s="350" t="s">
        <v>241</v>
      </c>
      <c r="C133" s="350"/>
      <c r="D133" s="350"/>
      <c r="E133" s="350"/>
      <c r="F133" s="178">
        <v>60.4</v>
      </c>
      <c r="G133" s="178">
        <v>69</v>
      </c>
      <c r="H133" s="178">
        <v>236.2</v>
      </c>
      <c r="I133" s="178">
        <v>1801.5</v>
      </c>
      <c r="J133" s="178">
        <v>1.1399999999999999</v>
      </c>
      <c r="K133" s="178">
        <v>1.1499999999999999</v>
      </c>
      <c r="L133" s="178">
        <v>80.400000000000006</v>
      </c>
      <c r="M133" s="178">
        <v>0.46</v>
      </c>
      <c r="N133" s="178">
        <v>8.69</v>
      </c>
      <c r="O133" s="178">
        <v>516.79999999999995</v>
      </c>
      <c r="P133" s="178">
        <v>989.6</v>
      </c>
      <c r="Q133" s="178">
        <v>9.1</v>
      </c>
      <c r="R133" s="178">
        <v>0.10199999999999999</v>
      </c>
      <c r="S133" s="178">
        <v>212.85</v>
      </c>
      <c r="T133" s="178">
        <v>15</v>
      </c>
    </row>
    <row r="134" spans="2:20" s="176" customFormat="1" ht="18" customHeight="1" x14ac:dyDescent="0.3">
      <c r="B134" s="350" t="s">
        <v>242</v>
      </c>
      <c r="C134" s="350"/>
      <c r="D134" s="350"/>
      <c r="E134" s="350"/>
      <c r="F134" s="177">
        <v>90</v>
      </c>
      <c r="G134" s="177">
        <v>92</v>
      </c>
      <c r="H134" s="177">
        <v>383</v>
      </c>
      <c r="I134" s="177">
        <v>2720</v>
      </c>
      <c r="J134" s="177">
        <v>1.4</v>
      </c>
      <c r="K134" s="177">
        <v>1.6</v>
      </c>
      <c r="L134" s="177">
        <v>70</v>
      </c>
      <c r="M134" s="177">
        <v>0.9</v>
      </c>
      <c r="N134" s="177">
        <v>12</v>
      </c>
      <c r="O134" s="177">
        <v>1200</v>
      </c>
      <c r="P134" s="177">
        <v>1200</v>
      </c>
      <c r="Q134" s="177">
        <v>14</v>
      </c>
      <c r="R134" s="177">
        <v>0.1</v>
      </c>
      <c r="S134" s="177">
        <v>300</v>
      </c>
      <c r="T134" s="177">
        <v>18</v>
      </c>
    </row>
    <row r="135" spans="2:20" s="176" customFormat="1" ht="18" customHeight="1" x14ac:dyDescent="0.3">
      <c r="B135" s="350" t="s">
        <v>226</v>
      </c>
      <c r="C135" s="350"/>
      <c r="D135" s="350"/>
      <c r="E135" s="350"/>
      <c r="F135" s="179">
        <v>0.67100000000000004</v>
      </c>
      <c r="G135" s="179">
        <v>0.75</v>
      </c>
      <c r="H135" s="179">
        <v>0.61699999999999999</v>
      </c>
      <c r="I135" s="179">
        <v>0.66200000000000003</v>
      </c>
      <c r="J135" s="179">
        <v>0.81799999999999995</v>
      </c>
      <c r="K135" s="179">
        <v>0.71599999999999997</v>
      </c>
      <c r="L135" s="179">
        <v>1.1479999999999999</v>
      </c>
      <c r="M135" s="257">
        <v>0.51</v>
      </c>
      <c r="N135" s="257">
        <v>0.72</v>
      </c>
      <c r="O135" s="179">
        <v>0.43099999999999999</v>
      </c>
      <c r="P135" s="179">
        <v>0.82499999999999996</v>
      </c>
      <c r="Q135" s="179">
        <v>0.65</v>
      </c>
      <c r="R135" s="257">
        <v>1.02</v>
      </c>
      <c r="S135" s="179">
        <v>0.71</v>
      </c>
      <c r="T135" s="179">
        <v>0.83299999999999996</v>
      </c>
    </row>
    <row r="136" spans="2:20" s="176" customFormat="1" ht="18" customHeight="1" x14ac:dyDescent="0.3">
      <c r="B136" s="253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372" t="s">
        <v>187</v>
      </c>
      <c r="N136" s="372"/>
      <c r="O136" s="372"/>
      <c r="P136" s="372"/>
      <c r="Q136" s="372"/>
      <c r="R136" s="372"/>
      <c r="S136" s="372"/>
      <c r="T136" s="372"/>
    </row>
    <row r="137" spans="2:20" s="176" customFormat="1" ht="18" customHeight="1" x14ac:dyDescent="0.3">
      <c r="B137" s="355" t="s">
        <v>284</v>
      </c>
      <c r="C137" s="355"/>
      <c r="D137" s="355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5"/>
      <c r="S137" s="355"/>
      <c r="T137" s="355"/>
    </row>
    <row r="138" spans="2:20" s="176" customFormat="1" ht="18" customHeight="1" x14ac:dyDescent="0.3">
      <c r="B138" s="350" t="s">
        <v>189</v>
      </c>
      <c r="C138" s="350"/>
      <c r="D138" s="177"/>
      <c r="E138" s="177"/>
      <c r="F138" s="177"/>
      <c r="G138" s="372" t="s">
        <v>285</v>
      </c>
      <c r="H138" s="372"/>
      <c r="I138" s="372"/>
      <c r="J138" s="177"/>
      <c r="K138" s="177"/>
      <c r="L138" s="350" t="s">
        <v>191</v>
      </c>
      <c r="M138" s="350"/>
      <c r="N138" s="372" t="s">
        <v>286</v>
      </c>
      <c r="O138" s="372"/>
      <c r="P138" s="372"/>
      <c r="Q138" s="372"/>
      <c r="R138" s="177"/>
      <c r="S138" s="177"/>
      <c r="T138" s="177"/>
    </row>
    <row r="139" spans="2:20" s="176" customFormat="1" ht="18" customHeight="1" x14ac:dyDescent="0.3">
      <c r="B139" s="177"/>
      <c r="C139" s="177"/>
      <c r="D139" s="177"/>
      <c r="E139" s="355" t="s">
        <v>194</v>
      </c>
      <c r="F139" s="355"/>
      <c r="G139" s="177">
        <v>1</v>
      </c>
      <c r="H139" s="177"/>
      <c r="I139" s="177"/>
      <c r="J139" s="177"/>
      <c r="K139" s="177"/>
      <c r="L139" s="350" t="s">
        <v>195</v>
      </c>
      <c r="M139" s="350"/>
      <c r="N139" s="372" t="s">
        <v>347</v>
      </c>
      <c r="O139" s="372"/>
      <c r="P139" s="372"/>
      <c r="Q139" s="372"/>
      <c r="R139" s="372"/>
      <c r="S139" s="372"/>
      <c r="T139" s="372"/>
    </row>
    <row r="140" spans="2:20" s="176" customFormat="1" ht="18" customHeight="1" x14ac:dyDescent="0.3">
      <c r="B140" s="255" t="s">
        <v>0</v>
      </c>
      <c r="C140" s="378" t="s">
        <v>198</v>
      </c>
      <c r="D140" s="378"/>
      <c r="E140" s="378" t="s">
        <v>199</v>
      </c>
      <c r="F140" s="378" t="s">
        <v>200</v>
      </c>
      <c r="G140" s="378"/>
      <c r="H140" s="378"/>
      <c r="I140" s="255" t="s">
        <v>201</v>
      </c>
      <c r="J140" s="378" t="s">
        <v>202</v>
      </c>
      <c r="K140" s="378"/>
      <c r="L140" s="378"/>
      <c r="M140" s="378"/>
      <c r="N140" s="378"/>
      <c r="O140" s="378" t="s">
        <v>203</v>
      </c>
      <c r="P140" s="378"/>
      <c r="Q140" s="378"/>
      <c r="R140" s="378"/>
      <c r="S140" s="378"/>
      <c r="T140" s="378"/>
    </row>
    <row r="141" spans="2:20" s="176" customFormat="1" ht="18" customHeight="1" x14ac:dyDescent="0.3">
      <c r="B141" s="255" t="s">
        <v>245</v>
      </c>
      <c r="C141" s="378"/>
      <c r="D141" s="378"/>
      <c r="E141" s="378"/>
      <c r="F141" s="255" t="s">
        <v>204</v>
      </c>
      <c r="G141" s="255" t="s">
        <v>205</v>
      </c>
      <c r="H141" s="255" t="s">
        <v>206</v>
      </c>
      <c r="I141" s="255" t="s">
        <v>207</v>
      </c>
      <c r="J141" s="255" t="s">
        <v>208</v>
      </c>
      <c r="K141" s="255" t="s">
        <v>209</v>
      </c>
      <c r="L141" s="255" t="s">
        <v>210</v>
      </c>
      <c r="M141" s="255" t="s">
        <v>211</v>
      </c>
      <c r="N141" s="255" t="s">
        <v>212</v>
      </c>
      <c r="O141" s="255" t="s">
        <v>213</v>
      </c>
      <c r="P141" s="255" t="s">
        <v>214</v>
      </c>
      <c r="Q141" s="255" t="s">
        <v>215</v>
      </c>
      <c r="R141" s="255" t="s">
        <v>216</v>
      </c>
      <c r="S141" s="255" t="s">
        <v>217</v>
      </c>
      <c r="T141" s="255" t="s">
        <v>218</v>
      </c>
    </row>
    <row r="142" spans="2:20" s="176" customFormat="1" ht="18" customHeight="1" x14ac:dyDescent="0.3">
      <c r="B142" s="183">
        <v>1</v>
      </c>
      <c r="C142" s="373">
        <v>2</v>
      </c>
      <c r="D142" s="373"/>
      <c r="E142" s="183">
        <v>3</v>
      </c>
      <c r="F142" s="183">
        <v>4</v>
      </c>
      <c r="G142" s="183">
        <v>5</v>
      </c>
      <c r="H142" s="183">
        <v>6</v>
      </c>
      <c r="I142" s="183">
        <v>7</v>
      </c>
      <c r="J142" s="183">
        <v>8</v>
      </c>
      <c r="K142" s="183">
        <v>9</v>
      </c>
      <c r="L142" s="183">
        <v>10</v>
      </c>
      <c r="M142" s="183">
        <v>11</v>
      </c>
      <c r="N142" s="183">
        <v>12</v>
      </c>
      <c r="O142" s="183">
        <v>13</v>
      </c>
      <c r="P142" s="183">
        <v>14</v>
      </c>
      <c r="Q142" s="183">
        <v>15</v>
      </c>
      <c r="R142" s="183">
        <v>16</v>
      </c>
      <c r="S142" s="183">
        <v>17</v>
      </c>
      <c r="T142" s="183">
        <v>18</v>
      </c>
    </row>
    <row r="143" spans="2:20" s="176" customFormat="1" ht="18" customHeight="1" x14ac:dyDescent="0.3">
      <c r="B143" s="355" t="s">
        <v>219</v>
      </c>
      <c r="C143" s="355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55"/>
      <c r="P143" s="355"/>
      <c r="Q143" s="355"/>
      <c r="R143" s="355"/>
      <c r="S143" s="355"/>
      <c r="T143" s="355"/>
    </row>
    <row r="144" spans="2:20" s="176" customFormat="1" ht="24.75" customHeight="1" x14ac:dyDescent="0.3">
      <c r="B144" s="240" t="s">
        <v>340</v>
      </c>
      <c r="C144" s="351" t="s">
        <v>339</v>
      </c>
      <c r="D144" s="351"/>
      <c r="E144" s="177">
        <v>40</v>
      </c>
      <c r="F144" s="241">
        <v>1.1200000000000001</v>
      </c>
      <c r="G144" s="241">
        <v>0</v>
      </c>
      <c r="H144" s="241">
        <v>0.52</v>
      </c>
      <c r="I144" s="240">
        <v>6.44</v>
      </c>
      <c r="J144" s="241">
        <v>0</v>
      </c>
      <c r="K144" s="241">
        <v>0</v>
      </c>
      <c r="L144" s="241">
        <v>0</v>
      </c>
      <c r="M144" s="241">
        <v>0</v>
      </c>
      <c r="N144" s="241">
        <v>0</v>
      </c>
      <c r="O144" s="241">
        <v>0</v>
      </c>
      <c r="P144" s="241">
        <v>0</v>
      </c>
      <c r="Q144" s="241">
        <v>0</v>
      </c>
      <c r="R144" s="241">
        <v>0</v>
      </c>
      <c r="S144" s="241">
        <v>0</v>
      </c>
      <c r="T144" s="241">
        <v>0</v>
      </c>
    </row>
    <row r="145" spans="2:20" s="176" customFormat="1" ht="27.75" customHeight="1" x14ac:dyDescent="0.3">
      <c r="B145" s="184">
        <v>71</v>
      </c>
      <c r="C145" s="352" t="s">
        <v>338</v>
      </c>
      <c r="D145" s="352"/>
      <c r="E145" s="184">
        <v>40</v>
      </c>
      <c r="F145" s="184">
        <v>0.33</v>
      </c>
      <c r="G145" s="184">
        <v>0.04</v>
      </c>
      <c r="H145" s="184">
        <v>1.1299999999999999</v>
      </c>
      <c r="I145" s="184">
        <v>6.23</v>
      </c>
      <c r="J145" s="184">
        <v>8.9999999999999993E-3</v>
      </c>
      <c r="K145" s="184">
        <v>0.01</v>
      </c>
      <c r="L145" s="184">
        <v>3</v>
      </c>
      <c r="M145" s="184">
        <v>3.0000000000000001E-3</v>
      </c>
      <c r="N145" s="184">
        <v>0.03</v>
      </c>
      <c r="O145" s="184">
        <v>6.9</v>
      </c>
      <c r="P145" s="184">
        <v>12.6</v>
      </c>
      <c r="Q145" s="184">
        <v>6.4000000000000001E-2</v>
      </c>
      <c r="R145" s="184">
        <v>1E-3</v>
      </c>
      <c r="S145" s="184">
        <v>4.2</v>
      </c>
      <c r="T145" s="184">
        <v>0.18</v>
      </c>
    </row>
    <row r="146" spans="2:20" s="176" customFormat="1" ht="18" customHeight="1" x14ac:dyDescent="0.3">
      <c r="B146" s="241">
        <v>210</v>
      </c>
      <c r="C146" s="351" t="s">
        <v>287</v>
      </c>
      <c r="D146" s="351"/>
      <c r="E146" s="241">
        <v>250</v>
      </c>
      <c r="F146" s="241">
        <v>23.23</v>
      </c>
      <c r="G146" s="241">
        <v>41.38</v>
      </c>
      <c r="H146" s="241">
        <v>4.4000000000000004</v>
      </c>
      <c r="I146" s="241">
        <v>482.75</v>
      </c>
      <c r="J146" s="241">
        <v>0.18</v>
      </c>
      <c r="K146" s="241">
        <v>0.85</v>
      </c>
      <c r="L146" s="241">
        <v>0.43</v>
      </c>
      <c r="M146" s="241">
        <v>0.18</v>
      </c>
      <c r="N146" s="241"/>
      <c r="O146" s="241">
        <v>171.8</v>
      </c>
      <c r="P146" s="241">
        <v>376.3</v>
      </c>
      <c r="Q146" s="241"/>
      <c r="R146" s="241">
        <v>0</v>
      </c>
      <c r="S146" s="241">
        <v>26.9</v>
      </c>
      <c r="T146" s="241">
        <v>4.4000000000000004</v>
      </c>
    </row>
    <row r="147" spans="2:20" s="176" customFormat="1" ht="18" customHeight="1" x14ac:dyDescent="0.3">
      <c r="B147" s="177">
        <v>338</v>
      </c>
      <c r="C147" s="352" t="s">
        <v>220</v>
      </c>
      <c r="D147" s="352"/>
      <c r="E147" s="177">
        <v>100</v>
      </c>
      <c r="F147" s="177">
        <v>0.4</v>
      </c>
      <c r="G147" s="177">
        <v>0.4</v>
      </c>
      <c r="H147" s="177">
        <v>9.8000000000000007</v>
      </c>
      <c r="I147" s="177">
        <v>44.4</v>
      </c>
      <c r="J147" s="177">
        <v>0.04</v>
      </c>
      <c r="K147" s="177">
        <v>0.02</v>
      </c>
      <c r="L147" s="177">
        <v>10</v>
      </c>
      <c r="M147" s="177">
        <v>0</v>
      </c>
      <c r="N147" s="177">
        <v>0.2</v>
      </c>
      <c r="O147" s="177">
        <v>16</v>
      </c>
      <c r="P147" s="177">
        <v>11</v>
      </c>
      <c r="Q147" s="177">
        <v>0</v>
      </c>
      <c r="R147" s="177">
        <v>0</v>
      </c>
      <c r="S147" s="177">
        <v>9</v>
      </c>
      <c r="T147" s="177">
        <v>2.2000000000000002</v>
      </c>
    </row>
    <row r="148" spans="2:20" s="176" customFormat="1" ht="15" customHeight="1" x14ac:dyDescent="0.3">
      <c r="B148" s="173">
        <v>376</v>
      </c>
      <c r="C148" s="359" t="s">
        <v>141</v>
      </c>
      <c r="D148" s="359"/>
      <c r="E148" s="173">
        <v>200</v>
      </c>
      <c r="F148" s="173">
        <v>0.2</v>
      </c>
      <c r="G148" s="173">
        <v>0.05</v>
      </c>
      <c r="H148" s="173">
        <v>15.01</v>
      </c>
      <c r="I148" s="173">
        <v>61</v>
      </c>
      <c r="J148" s="173">
        <v>0</v>
      </c>
      <c r="K148" s="173">
        <v>0.01</v>
      </c>
      <c r="L148" s="173">
        <v>9</v>
      </c>
      <c r="M148" s="173">
        <v>1E-4</v>
      </c>
      <c r="N148" s="173">
        <v>4.4999999999999998E-2</v>
      </c>
      <c r="O148" s="173">
        <v>5.25</v>
      </c>
      <c r="P148" s="173">
        <v>8.24</v>
      </c>
      <c r="Q148" s="173">
        <v>8.0000000000000002E-3</v>
      </c>
      <c r="R148" s="173">
        <v>0</v>
      </c>
      <c r="S148" s="173">
        <v>4.4000000000000004</v>
      </c>
      <c r="T148" s="173">
        <v>0.87</v>
      </c>
    </row>
    <row r="149" spans="2:20" s="176" customFormat="1" ht="18" customHeight="1" x14ac:dyDescent="0.3">
      <c r="B149" s="177" t="s">
        <v>224</v>
      </c>
      <c r="C149" s="352" t="s">
        <v>267</v>
      </c>
      <c r="D149" s="352"/>
      <c r="E149" s="177">
        <v>40</v>
      </c>
      <c r="F149" s="177">
        <v>2.67</v>
      </c>
      <c r="G149" s="177">
        <v>0.53</v>
      </c>
      <c r="H149" s="177">
        <v>13.73</v>
      </c>
      <c r="I149" s="177">
        <v>70.400000000000006</v>
      </c>
      <c r="J149" s="177">
        <v>0.13</v>
      </c>
      <c r="K149" s="177">
        <v>1.2999999999999999E-2</v>
      </c>
      <c r="L149" s="177">
        <v>0.1</v>
      </c>
      <c r="M149" s="177">
        <v>0</v>
      </c>
      <c r="N149" s="177">
        <v>0.93</v>
      </c>
      <c r="O149" s="177">
        <v>14</v>
      </c>
      <c r="P149" s="177">
        <v>63.2</v>
      </c>
      <c r="Q149" s="177">
        <v>1.2999999999999999E-2</v>
      </c>
      <c r="R149" s="177">
        <v>1.2999999999999999E-2</v>
      </c>
      <c r="S149" s="177">
        <v>18.8</v>
      </c>
      <c r="T149" s="177">
        <v>1.6</v>
      </c>
    </row>
    <row r="150" spans="2:20" s="176" customFormat="1" ht="18" customHeight="1" x14ac:dyDescent="0.3">
      <c r="B150" s="350" t="s">
        <v>225</v>
      </c>
      <c r="C150" s="350"/>
      <c r="D150" s="350"/>
      <c r="E150" s="178">
        <f>SUM(E145:E149)</f>
        <v>630</v>
      </c>
      <c r="F150" s="178">
        <f t="shared" ref="F150:T150" si="28">SUM(F145:F149)</f>
        <v>26.83</v>
      </c>
      <c r="G150" s="178">
        <f t="shared" si="28"/>
        <v>42.4</v>
      </c>
      <c r="H150" s="178">
        <f t="shared" si="28"/>
        <v>44.070000000000007</v>
      </c>
      <c r="I150" s="178">
        <f t="shared" si="28"/>
        <v>664.78</v>
      </c>
      <c r="J150" s="178">
        <f t="shared" si="28"/>
        <v>0.35899999999999999</v>
      </c>
      <c r="K150" s="178">
        <f t="shared" si="28"/>
        <v>0.90300000000000002</v>
      </c>
      <c r="L150" s="178">
        <f t="shared" si="28"/>
        <v>22.53</v>
      </c>
      <c r="M150" s="178">
        <f t="shared" si="28"/>
        <v>0.18309999999999998</v>
      </c>
      <c r="N150" s="178">
        <f t="shared" si="28"/>
        <v>1.2050000000000001</v>
      </c>
      <c r="O150" s="178">
        <f t="shared" si="28"/>
        <v>213.95000000000002</v>
      </c>
      <c r="P150" s="178">
        <f t="shared" si="28"/>
        <v>471.34000000000003</v>
      </c>
      <c r="Q150" s="178">
        <f t="shared" si="28"/>
        <v>8.5000000000000006E-2</v>
      </c>
      <c r="R150" s="178">
        <f t="shared" si="28"/>
        <v>1.3999999999999999E-2</v>
      </c>
      <c r="S150" s="178">
        <f t="shared" si="28"/>
        <v>63.3</v>
      </c>
      <c r="T150" s="178">
        <f t="shared" si="28"/>
        <v>9.25</v>
      </c>
    </row>
    <row r="151" spans="2:20" s="176" customFormat="1" ht="18" customHeight="1" x14ac:dyDescent="0.3">
      <c r="B151" s="350" t="s">
        <v>226</v>
      </c>
      <c r="C151" s="350"/>
      <c r="D151" s="350"/>
      <c r="E151" s="350"/>
      <c r="F151" s="179">
        <f>F150/F168</f>
        <v>0.2981111111111111</v>
      </c>
      <c r="G151" s="179">
        <f t="shared" ref="G151:T151" si="29">G150/G168</f>
        <v>0.46086956521739131</v>
      </c>
      <c r="H151" s="179">
        <f t="shared" si="29"/>
        <v>0.11506527415143605</v>
      </c>
      <c r="I151" s="179">
        <f t="shared" si="29"/>
        <v>0.24440441176470587</v>
      </c>
      <c r="J151" s="179">
        <f t="shared" si="29"/>
        <v>0.25642857142857145</v>
      </c>
      <c r="K151" s="179">
        <f t="shared" si="29"/>
        <v>0.56437499999999996</v>
      </c>
      <c r="L151" s="179">
        <f t="shared" si="29"/>
        <v>0.3218571428571429</v>
      </c>
      <c r="M151" s="179">
        <f t="shared" si="29"/>
        <v>0.20344444444444443</v>
      </c>
      <c r="N151" s="179">
        <f t="shared" si="29"/>
        <v>0.10041666666666667</v>
      </c>
      <c r="O151" s="179">
        <f t="shared" si="29"/>
        <v>0.17829166666666668</v>
      </c>
      <c r="P151" s="179">
        <f t="shared" si="29"/>
        <v>0.39278333333333337</v>
      </c>
      <c r="Q151" s="179">
        <f t="shared" si="29"/>
        <v>6.0714285714285722E-3</v>
      </c>
      <c r="R151" s="179">
        <f t="shared" si="29"/>
        <v>0.13999999999999999</v>
      </c>
      <c r="S151" s="179">
        <f t="shared" si="29"/>
        <v>0.21099999999999999</v>
      </c>
      <c r="T151" s="179">
        <f t="shared" si="29"/>
        <v>0.51388888888888884</v>
      </c>
    </row>
    <row r="152" spans="2:20" s="176" customFormat="1" ht="18" customHeight="1" x14ac:dyDescent="0.3">
      <c r="B152" s="355" t="s">
        <v>227</v>
      </c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</row>
    <row r="153" spans="2:20" s="176" customFormat="1" ht="26.25" customHeight="1" x14ac:dyDescent="0.3">
      <c r="B153" s="177">
        <v>52</v>
      </c>
      <c r="C153" s="352" t="s">
        <v>252</v>
      </c>
      <c r="D153" s="352"/>
      <c r="E153" s="177">
        <v>100</v>
      </c>
      <c r="F153" s="177">
        <v>1.43</v>
      </c>
      <c r="G153" s="177">
        <v>5.08</v>
      </c>
      <c r="H153" s="177">
        <v>8.5500000000000007</v>
      </c>
      <c r="I153" s="177">
        <v>85.68</v>
      </c>
      <c r="J153" s="177">
        <v>0.02</v>
      </c>
      <c r="K153" s="177">
        <v>0.03</v>
      </c>
      <c r="L153" s="177">
        <v>9.5</v>
      </c>
      <c r="M153" s="177">
        <v>0.02</v>
      </c>
      <c r="N153" s="177">
        <v>0.17</v>
      </c>
      <c r="O153" s="177">
        <v>44.35</v>
      </c>
      <c r="P153" s="177">
        <v>42.73</v>
      </c>
      <c r="Q153" s="177">
        <v>0.72</v>
      </c>
      <c r="R153" s="177">
        <v>1.7000000000000001E-2</v>
      </c>
      <c r="S153" s="177">
        <v>21.5</v>
      </c>
      <c r="T153" s="177">
        <v>1.4</v>
      </c>
    </row>
    <row r="154" spans="2:20" s="176" customFormat="1" ht="26.25" customHeight="1" x14ac:dyDescent="0.3">
      <c r="B154" s="177" t="s">
        <v>289</v>
      </c>
      <c r="C154" s="359" t="s">
        <v>290</v>
      </c>
      <c r="D154" s="359"/>
      <c r="E154" s="177">
        <v>250</v>
      </c>
      <c r="F154" s="177">
        <v>2.63</v>
      </c>
      <c r="G154" s="177">
        <v>2.63</v>
      </c>
      <c r="H154" s="177">
        <v>19.38</v>
      </c>
      <c r="I154" s="177">
        <v>112.5</v>
      </c>
      <c r="J154" s="177">
        <v>0.1</v>
      </c>
      <c r="K154" s="177">
        <v>0.05</v>
      </c>
      <c r="L154" s="177">
        <v>7</v>
      </c>
      <c r="M154" s="177">
        <v>0.1</v>
      </c>
      <c r="N154" s="177"/>
      <c r="O154" s="177">
        <v>15.8</v>
      </c>
      <c r="P154" s="177">
        <v>0</v>
      </c>
      <c r="Q154" s="177"/>
      <c r="R154" s="177">
        <v>0</v>
      </c>
      <c r="S154" s="177">
        <v>24</v>
      </c>
      <c r="T154" s="177">
        <v>0.9</v>
      </c>
    </row>
    <row r="155" spans="2:20" s="176" customFormat="1" ht="27" customHeight="1" x14ac:dyDescent="0.3">
      <c r="B155" s="177">
        <v>295</v>
      </c>
      <c r="C155" s="359" t="s">
        <v>291</v>
      </c>
      <c r="D155" s="359"/>
      <c r="E155" s="177">
        <v>100</v>
      </c>
      <c r="F155" s="177">
        <v>15.24</v>
      </c>
      <c r="G155" s="177">
        <v>5.8</v>
      </c>
      <c r="H155" s="177">
        <v>10.16</v>
      </c>
      <c r="I155" s="177">
        <v>153.80000000000001</v>
      </c>
      <c r="J155" s="177">
        <v>0.09</v>
      </c>
      <c r="K155" s="177">
        <v>0.08</v>
      </c>
      <c r="L155" s="177">
        <v>0.24</v>
      </c>
      <c r="M155" s="177">
        <v>1E-3</v>
      </c>
      <c r="N155" s="177">
        <v>7.3999999999999996E-2</v>
      </c>
      <c r="O155" s="177">
        <v>14.03</v>
      </c>
      <c r="P155" s="177">
        <v>93.98</v>
      </c>
      <c r="Q155" s="177">
        <v>1.17</v>
      </c>
      <c r="R155" s="177">
        <v>0.04</v>
      </c>
      <c r="S155" s="177">
        <v>16.239999999999998</v>
      </c>
      <c r="T155" s="177">
        <v>1.89</v>
      </c>
    </row>
    <row r="156" spans="2:20" s="176" customFormat="1" ht="18" customHeight="1" x14ac:dyDescent="0.3">
      <c r="B156" s="173" t="s">
        <v>292</v>
      </c>
      <c r="C156" s="359" t="s">
        <v>293</v>
      </c>
      <c r="D156" s="359"/>
      <c r="E156" s="177">
        <v>180</v>
      </c>
      <c r="F156" s="177">
        <v>4.32</v>
      </c>
      <c r="G156" s="177">
        <v>4.21</v>
      </c>
      <c r="H156" s="177">
        <v>43.96</v>
      </c>
      <c r="I156" s="177">
        <v>234.94</v>
      </c>
      <c r="J156" s="177">
        <v>0.09</v>
      </c>
      <c r="K156" s="177">
        <v>7.0000000000000007E-2</v>
      </c>
      <c r="L156" s="177">
        <v>9.92</v>
      </c>
      <c r="M156" s="177">
        <v>0.09</v>
      </c>
      <c r="N156" s="177"/>
      <c r="O156" s="177">
        <v>64.64</v>
      </c>
      <c r="P156" s="177">
        <v>0</v>
      </c>
      <c r="Q156" s="177"/>
      <c r="R156" s="177">
        <v>0</v>
      </c>
      <c r="S156" s="177">
        <v>70.599999999999994</v>
      </c>
      <c r="T156" s="177">
        <v>1.42</v>
      </c>
    </row>
    <row r="157" spans="2:20" s="176" customFormat="1" ht="18" customHeight="1" x14ac:dyDescent="0.3">
      <c r="B157" s="177">
        <v>377</v>
      </c>
      <c r="C157" s="352" t="s">
        <v>149</v>
      </c>
      <c r="D157" s="352"/>
      <c r="E157" s="177" t="s">
        <v>151</v>
      </c>
      <c r="F157" s="177">
        <v>0.26</v>
      </c>
      <c r="G157" s="177">
        <v>0.06</v>
      </c>
      <c r="H157" s="177">
        <v>15.22</v>
      </c>
      <c r="I157" s="177">
        <v>62.5</v>
      </c>
      <c r="J157" s="177"/>
      <c r="K157" s="177">
        <v>0.01</v>
      </c>
      <c r="L157" s="177">
        <v>2.9</v>
      </c>
      <c r="M157" s="177">
        <v>0</v>
      </c>
      <c r="N157" s="177">
        <v>0.06</v>
      </c>
      <c r="O157" s="177">
        <v>8.0500000000000007</v>
      </c>
      <c r="P157" s="177">
        <v>9.7799999999999994</v>
      </c>
      <c r="Q157" s="177">
        <v>1.7000000000000001E-2</v>
      </c>
      <c r="R157" s="177">
        <v>0</v>
      </c>
      <c r="S157" s="177">
        <v>5.24</v>
      </c>
      <c r="T157" s="177">
        <v>0.87</v>
      </c>
    </row>
    <row r="158" spans="2:20" s="176" customFormat="1" ht="18" customHeight="1" x14ac:dyDescent="0.3">
      <c r="B158" s="177" t="s">
        <v>224</v>
      </c>
      <c r="C158" s="352" t="s">
        <v>235</v>
      </c>
      <c r="D158" s="352"/>
      <c r="E158" s="177">
        <v>40</v>
      </c>
      <c r="F158" s="177">
        <v>2.64</v>
      </c>
      <c r="G158" s="177">
        <v>0.48</v>
      </c>
      <c r="H158" s="177">
        <v>13.68</v>
      </c>
      <c r="I158" s="177">
        <v>69.599999999999994</v>
      </c>
      <c r="J158" s="177">
        <v>0.08</v>
      </c>
      <c r="K158" s="177">
        <v>0.04</v>
      </c>
      <c r="L158" s="177">
        <v>0</v>
      </c>
      <c r="M158" s="177">
        <v>0</v>
      </c>
      <c r="N158" s="177">
        <v>2.4</v>
      </c>
      <c r="O158" s="177">
        <v>14</v>
      </c>
      <c r="P158" s="177">
        <v>63.2</v>
      </c>
      <c r="Q158" s="177">
        <v>1.2</v>
      </c>
      <c r="R158" s="177">
        <v>1E-3</v>
      </c>
      <c r="S158" s="177">
        <v>9.4</v>
      </c>
      <c r="T158" s="177">
        <v>0.78</v>
      </c>
    </row>
    <row r="159" spans="2:20" s="176" customFormat="1" ht="18" customHeight="1" x14ac:dyDescent="0.3">
      <c r="B159" s="177" t="s">
        <v>224</v>
      </c>
      <c r="C159" s="352" t="s">
        <v>117</v>
      </c>
      <c r="D159" s="352"/>
      <c r="E159" s="177">
        <v>30</v>
      </c>
      <c r="F159" s="177">
        <v>1.52</v>
      </c>
      <c r="G159" s="177">
        <v>0.16</v>
      </c>
      <c r="H159" s="177">
        <v>9.84</v>
      </c>
      <c r="I159" s="177">
        <v>46.9</v>
      </c>
      <c r="J159" s="177">
        <v>0.02</v>
      </c>
      <c r="K159" s="177">
        <v>0.01</v>
      </c>
      <c r="L159" s="177">
        <v>0.44</v>
      </c>
      <c r="M159" s="177">
        <v>0</v>
      </c>
      <c r="N159" s="177">
        <v>0.7</v>
      </c>
      <c r="O159" s="177">
        <v>4</v>
      </c>
      <c r="P159" s="177">
        <v>13</v>
      </c>
      <c r="Q159" s="177">
        <v>8.0000000000000002E-3</v>
      </c>
      <c r="R159" s="177">
        <v>1E-3</v>
      </c>
      <c r="S159" s="177">
        <v>0</v>
      </c>
      <c r="T159" s="177">
        <v>0.22</v>
      </c>
    </row>
    <row r="160" spans="2:20" s="176" customFormat="1" ht="26.25" customHeight="1" x14ac:dyDescent="0.3">
      <c r="B160" s="350" t="s">
        <v>236</v>
      </c>
      <c r="C160" s="350"/>
      <c r="D160" s="350"/>
      <c r="E160" s="178">
        <f>E153+E154+E155+E156+E158+E159+204</f>
        <v>904</v>
      </c>
      <c r="F160" s="178">
        <f>SUM(F153:F159)</f>
        <v>28.040000000000003</v>
      </c>
      <c r="G160" s="178">
        <f t="shared" ref="G160:T160" si="30">SUM(G153:G159)</f>
        <v>18.419999999999998</v>
      </c>
      <c r="H160" s="178">
        <f t="shared" si="30"/>
        <v>120.79000000000002</v>
      </c>
      <c r="I160" s="178">
        <f t="shared" si="30"/>
        <v>765.92000000000007</v>
      </c>
      <c r="J160" s="178">
        <f t="shared" si="30"/>
        <v>0.40000000000000008</v>
      </c>
      <c r="K160" s="178">
        <f t="shared" si="30"/>
        <v>0.29000000000000004</v>
      </c>
      <c r="L160" s="178">
        <f t="shared" si="30"/>
        <v>29.999999999999996</v>
      </c>
      <c r="M160" s="178">
        <f t="shared" si="30"/>
        <v>0.21100000000000002</v>
      </c>
      <c r="N160" s="178">
        <f t="shared" si="30"/>
        <v>3.4039999999999999</v>
      </c>
      <c r="O160" s="178">
        <f t="shared" si="30"/>
        <v>164.87</v>
      </c>
      <c r="P160" s="178">
        <f t="shared" si="30"/>
        <v>222.69</v>
      </c>
      <c r="Q160" s="178">
        <f t="shared" si="30"/>
        <v>3.1149999999999998</v>
      </c>
      <c r="R160" s="178">
        <f t="shared" si="30"/>
        <v>5.9000000000000004E-2</v>
      </c>
      <c r="S160" s="178">
        <f t="shared" si="30"/>
        <v>146.97999999999999</v>
      </c>
      <c r="T160" s="178">
        <f t="shared" si="30"/>
        <v>7.4799999999999995</v>
      </c>
    </row>
    <row r="161" spans="2:20" s="176" customFormat="1" ht="18" customHeight="1" x14ac:dyDescent="0.3">
      <c r="B161" s="350" t="s">
        <v>226</v>
      </c>
      <c r="C161" s="350"/>
      <c r="D161" s="350"/>
      <c r="E161" s="350"/>
      <c r="F161" s="179">
        <f>F160/F168</f>
        <v>0.31155555555555559</v>
      </c>
      <c r="G161" s="179">
        <f t="shared" ref="G161:T161" si="31">G160/G168</f>
        <v>0.20021739130434782</v>
      </c>
      <c r="H161" s="179">
        <f t="shared" si="31"/>
        <v>0.31537859007832902</v>
      </c>
      <c r="I161" s="179">
        <f t="shared" si="31"/>
        <v>0.28158823529411769</v>
      </c>
      <c r="J161" s="179">
        <f t="shared" si="31"/>
        <v>0.28571428571428581</v>
      </c>
      <c r="K161" s="179">
        <f t="shared" si="31"/>
        <v>0.18125000000000002</v>
      </c>
      <c r="L161" s="179">
        <f t="shared" si="31"/>
        <v>0.42857142857142855</v>
      </c>
      <c r="M161" s="179">
        <f t="shared" si="31"/>
        <v>0.23444444444444446</v>
      </c>
      <c r="N161" s="179">
        <f t="shared" si="31"/>
        <v>0.28366666666666668</v>
      </c>
      <c r="O161" s="179">
        <f t="shared" si="31"/>
        <v>0.13739166666666666</v>
      </c>
      <c r="P161" s="179">
        <f t="shared" si="31"/>
        <v>0.18557499999999999</v>
      </c>
      <c r="Q161" s="179">
        <f t="shared" si="31"/>
        <v>0.22249999999999998</v>
      </c>
      <c r="R161" s="179">
        <f t="shared" si="31"/>
        <v>0.59</v>
      </c>
      <c r="S161" s="179">
        <f t="shared" si="31"/>
        <v>0.48993333333333328</v>
      </c>
      <c r="T161" s="179">
        <f t="shared" si="31"/>
        <v>0.41555555555555551</v>
      </c>
    </row>
    <row r="162" spans="2:20" s="176" customFormat="1" ht="18" customHeight="1" x14ac:dyDescent="0.3">
      <c r="B162" s="355" t="s">
        <v>237</v>
      </c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</row>
    <row r="163" spans="2:20" s="176" customFormat="1" ht="18" customHeight="1" x14ac:dyDescent="0.3">
      <c r="B163" s="177" t="s">
        <v>224</v>
      </c>
      <c r="C163" s="352" t="s">
        <v>238</v>
      </c>
      <c r="D163" s="352"/>
      <c r="E163" s="177">
        <v>100</v>
      </c>
      <c r="F163" s="177">
        <v>7.86</v>
      </c>
      <c r="G163" s="177">
        <v>5.57</v>
      </c>
      <c r="H163" s="177">
        <v>53.71</v>
      </c>
      <c r="I163" s="177">
        <v>297.14</v>
      </c>
      <c r="J163" s="177">
        <v>0.1</v>
      </c>
      <c r="K163" s="177">
        <v>0.04</v>
      </c>
      <c r="L163" s="177">
        <v>0</v>
      </c>
      <c r="M163" s="177">
        <v>0.1</v>
      </c>
      <c r="N163" s="177"/>
      <c r="O163" s="177">
        <v>16.170000000000002</v>
      </c>
      <c r="P163" s="177">
        <v>0</v>
      </c>
      <c r="Q163" s="177">
        <v>0</v>
      </c>
      <c r="R163" s="177">
        <v>0</v>
      </c>
      <c r="S163" s="177">
        <v>11.19</v>
      </c>
      <c r="T163" s="177">
        <v>0.9</v>
      </c>
    </row>
    <row r="164" spans="2:20" s="176" customFormat="1" ht="29.25" customHeight="1" x14ac:dyDescent="0.3">
      <c r="B164" s="177">
        <v>648</v>
      </c>
      <c r="C164" s="352" t="s">
        <v>294</v>
      </c>
      <c r="D164" s="352"/>
      <c r="E164" s="177">
        <v>200</v>
      </c>
      <c r="F164" s="177">
        <v>0</v>
      </c>
      <c r="G164" s="177">
        <v>0</v>
      </c>
      <c r="H164" s="177">
        <v>20</v>
      </c>
      <c r="I164" s="177">
        <v>76</v>
      </c>
      <c r="J164" s="177">
        <v>0</v>
      </c>
      <c r="K164" s="177">
        <v>0</v>
      </c>
      <c r="L164" s="177">
        <v>0</v>
      </c>
      <c r="M164" s="177">
        <v>0</v>
      </c>
      <c r="N164" s="177"/>
      <c r="O164" s="177">
        <v>0.48</v>
      </c>
      <c r="P164" s="177">
        <v>0</v>
      </c>
      <c r="Q164" s="177">
        <v>0</v>
      </c>
      <c r="R164" s="177">
        <v>0</v>
      </c>
      <c r="S164" s="177">
        <v>0</v>
      </c>
      <c r="T164" s="177">
        <v>0.06</v>
      </c>
    </row>
    <row r="165" spans="2:20" s="176" customFormat="1" ht="18" customHeight="1" x14ac:dyDescent="0.3">
      <c r="B165" s="356" t="s">
        <v>240</v>
      </c>
      <c r="C165" s="357"/>
      <c r="D165" s="358"/>
      <c r="E165" s="178">
        <f>E163+E164</f>
        <v>300</v>
      </c>
      <c r="F165" s="178">
        <f t="shared" ref="F165:T165" si="32">F163+F164</f>
        <v>7.86</v>
      </c>
      <c r="G165" s="178">
        <f t="shared" si="32"/>
        <v>5.57</v>
      </c>
      <c r="H165" s="178">
        <f t="shared" si="32"/>
        <v>73.710000000000008</v>
      </c>
      <c r="I165" s="178">
        <f t="shared" si="32"/>
        <v>373.14</v>
      </c>
      <c r="J165" s="178">
        <f t="shared" si="32"/>
        <v>0.1</v>
      </c>
      <c r="K165" s="178">
        <f t="shared" si="32"/>
        <v>0.04</v>
      </c>
      <c r="L165" s="178">
        <f t="shared" si="32"/>
        <v>0</v>
      </c>
      <c r="M165" s="178">
        <f t="shared" si="32"/>
        <v>0.1</v>
      </c>
      <c r="N165" s="178">
        <f t="shared" si="32"/>
        <v>0</v>
      </c>
      <c r="O165" s="178">
        <f t="shared" si="32"/>
        <v>16.650000000000002</v>
      </c>
      <c r="P165" s="178">
        <f t="shared" si="32"/>
        <v>0</v>
      </c>
      <c r="Q165" s="178">
        <f t="shared" si="32"/>
        <v>0</v>
      </c>
      <c r="R165" s="178">
        <f t="shared" si="32"/>
        <v>0</v>
      </c>
      <c r="S165" s="178">
        <f t="shared" si="32"/>
        <v>11.19</v>
      </c>
      <c r="T165" s="178">
        <f t="shared" si="32"/>
        <v>0.96</v>
      </c>
    </row>
    <row r="166" spans="2:20" s="176" customFormat="1" ht="18" customHeight="1" x14ac:dyDescent="0.3">
      <c r="B166" s="350" t="s">
        <v>226</v>
      </c>
      <c r="C166" s="350"/>
      <c r="D166" s="350"/>
      <c r="E166" s="350"/>
      <c r="F166" s="179">
        <f>F165/F168</f>
        <v>8.7333333333333332E-2</v>
      </c>
      <c r="G166" s="179">
        <f t="shared" ref="G166:T166" si="33">G165/G168</f>
        <v>6.0543478260869567E-2</v>
      </c>
      <c r="H166" s="179">
        <f t="shared" si="33"/>
        <v>0.1924543080939948</v>
      </c>
      <c r="I166" s="179">
        <f t="shared" si="33"/>
        <v>0.13718382352941175</v>
      </c>
      <c r="J166" s="179">
        <f t="shared" si="33"/>
        <v>7.1428571428571438E-2</v>
      </c>
      <c r="K166" s="179">
        <f t="shared" si="33"/>
        <v>2.4999999999999998E-2</v>
      </c>
      <c r="L166" s="179">
        <f t="shared" si="33"/>
        <v>0</v>
      </c>
      <c r="M166" s="179">
        <f t="shared" si="33"/>
        <v>0.11111111111111112</v>
      </c>
      <c r="N166" s="179">
        <f t="shared" si="33"/>
        <v>0</v>
      </c>
      <c r="O166" s="179">
        <f t="shared" si="33"/>
        <v>1.3875000000000002E-2</v>
      </c>
      <c r="P166" s="179">
        <f t="shared" si="33"/>
        <v>0</v>
      </c>
      <c r="Q166" s="179">
        <f t="shared" si="33"/>
        <v>0</v>
      </c>
      <c r="R166" s="179">
        <f t="shared" si="33"/>
        <v>0</v>
      </c>
      <c r="S166" s="179">
        <f t="shared" si="33"/>
        <v>3.73E-2</v>
      </c>
      <c r="T166" s="179">
        <f t="shared" si="33"/>
        <v>5.333333333333333E-2</v>
      </c>
    </row>
    <row r="167" spans="2:20" s="176" customFormat="1" ht="18" customHeight="1" x14ac:dyDescent="0.3">
      <c r="B167" s="350" t="s">
        <v>241</v>
      </c>
      <c r="C167" s="350"/>
      <c r="D167" s="350"/>
      <c r="E167" s="350"/>
      <c r="F167" s="178">
        <f>F165+F160+F150</f>
        <v>62.730000000000004</v>
      </c>
      <c r="G167" s="178">
        <f t="shared" ref="G167:T167" si="34">G165+G160+G150</f>
        <v>66.39</v>
      </c>
      <c r="H167" s="178">
        <f t="shared" si="34"/>
        <v>238.57000000000005</v>
      </c>
      <c r="I167" s="178">
        <f t="shared" si="34"/>
        <v>1803.84</v>
      </c>
      <c r="J167" s="178">
        <f t="shared" si="34"/>
        <v>0.8590000000000001</v>
      </c>
      <c r="K167" s="178">
        <f t="shared" si="34"/>
        <v>1.2330000000000001</v>
      </c>
      <c r="L167" s="178">
        <f t="shared" si="34"/>
        <v>52.53</v>
      </c>
      <c r="M167" s="178">
        <f t="shared" si="34"/>
        <v>0.49410000000000004</v>
      </c>
      <c r="N167" s="178">
        <f t="shared" si="34"/>
        <v>4.609</v>
      </c>
      <c r="O167" s="178">
        <f t="shared" si="34"/>
        <v>395.47</v>
      </c>
      <c r="P167" s="178">
        <f t="shared" si="34"/>
        <v>694.03</v>
      </c>
      <c r="Q167" s="178">
        <f t="shared" si="34"/>
        <v>3.1999999999999997</v>
      </c>
      <c r="R167" s="178">
        <f t="shared" si="34"/>
        <v>7.3000000000000009E-2</v>
      </c>
      <c r="S167" s="178">
        <f t="shared" si="34"/>
        <v>221.46999999999997</v>
      </c>
      <c r="T167" s="178">
        <f t="shared" si="34"/>
        <v>17.689999999999998</v>
      </c>
    </row>
    <row r="168" spans="2:20" s="176" customFormat="1" ht="18" customHeight="1" x14ac:dyDescent="0.3">
      <c r="B168" s="350" t="s">
        <v>242</v>
      </c>
      <c r="C168" s="350"/>
      <c r="D168" s="350"/>
      <c r="E168" s="350"/>
      <c r="F168" s="177">
        <v>90</v>
      </c>
      <c r="G168" s="177">
        <v>92</v>
      </c>
      <c r="H168" s="177">
        <v>383</v>
      </c>
      <c r="I168" s="177">
        <v>2720</v>
      </c>
      <c r="J168" s="177">
        <v>1.4</v>
      </c>
      <c r="K168" s="177">
        <v>1.6</v>
      </c>
      <c r="L168" s="177">
        <v>70</v>
      </c>
      <c r="M168" s="177">
        <v>0.9</v>
      </c>
      <c r="N168" s="177">
        <v>12</v>
      </c>
      <c r="O168" s="177">
        <v>1200</v>
      </c>
      <c r="P168" s="177">
        <v>1200</v>
      </c>
      <c r="Q168" s="177">
        <v>14</v>
      </c>
      <c r="R168" s="177">
        <v>0.1</v>
      </c>
      <c r="S168" s="177">
        <v>300</v>
      </c>
      <c r="T168" s="177">
        <v>18</v>
      </c>
    </row>
    <row r="169" spans="2:20" s="176" customFormat="1" ht="18" customHeight="1" x14ac:dyDescent="0.3">
      <c r="B169" s="350" t="s">
        <v>226</v>
      </c>
      <c r="C169" s="350"/>
      <c r="D169" s="350"/>
      <c r="E169" s="350"/>
      <c r="F169" s="179">
        <f>F167/F168</f>
        <v>0.69700000000000006</v>
      </c>
      <c r="G169" s="179">
        <f t="shared" ref="G169:T169" si="35">G167/G168</f>
        <v>0.72163043478260869</v>
      </c>
      <c r="H169" s="179">
        <f t="shared" si="35"/>
        <v>0.62289817232375988</v>
      </c>
      <c r="I169" s="179">
        <f t="shared" si="35"/>
        <v>0.66317647058823526</v>
      </c>
      <c r="J169" s="179">
        <f t="shared" si="35"/>
        <v>0.61357142857142866</v>
      </c>
      <c r="K169" s="179">
        <f t="shared" si="35"/>
        <v>0.770625</v>
      </c>
      <c r="L169" s="179">
        <f t="shared" si="35"/>
        <v>0.75042857142857144</v>
      </c>
      <c r="M169" s="179">
        <f t="shared" si="35"/>
        <v>0.54900000000000004</v>
      </c>
      <c r="N169" s="179">
        <f t="shared" si="35"/>
        <v>0.38408333333333333</v>
      </c>
      <c r="O169" s="179">
        <f t="shared" si="35"/>
        <v>0.32955833333333334</v>
      </c>
      <c r="P169" s="179">
        <f t="shared" si="35"/>
        <v>0.57835833333333331</v>
      </c>
      <c r="Q169" s="179">
        <f t="shared" si="35"/>
        <v>0.22857142857142856</v>
      </c>
      <c r="R169" s="179">
        <f t="shared" si="35"/>
        <v>0.73000000000000009</v>
      </c>
      <c r="S169" s="179">
        <f t="shared" si="35"/>
        <v>0.73823333333333319</v>
      </c>
      <c r="T169" s="179">
        <f t="shared" si="35"/>
        <v>0.98277777777777764</v>
      </c>
    </row>
    <row r="170" spans="2:20" s="176" customFormat="1" ht="18" customHeight="1" x14ac:dyDescent="0.3">
      <c r="B170" s="350" t="s">
        <v>295</v>
      </c>
      <c r="C170" s="350"/>
      <c r="D170" s="350"/>
      <c r="E170" s="350"/>
      <c r="F170" s="201">
        <f>(F14+F49+F83+F116+F150)/5</f>
        <v>26.183600000000002</v>
      </c>
      <c r="G170" s="201">
        <f t="shared" ref="G170:T170" si="36">(G14+G49+G83+G116+G150)/5</f>
        <v>25.572600000000001</v>
      </c>
      <c r="H170" s="201">
        <f t="shared" si="36"/>
        <v>79.75</v>
      </c>
      <c r="I170" s="201">
        <f t="shared" si="36"/>
        <v>652.54599999999994</v>
      </c>
      <c r="J170" s="201">
        <f t="shared" si="36"/>
        <v>0.30220000000000002</v>
      </c>
      <c r="K170" s="201">
        <f t="shared" si="36"/>
        <v>0.44440000000000002</v>
      </c>
      <c r="L170" s="201">
        <f t="shared" si="36"/>
        <v>14.132999999999999</v>
      </c>
      <c r="M170" s="201">
        <f t="shared" si="36"/>
        <v>0.43364000000000003</v>
      </c>
      <c r="N170" s="201">
        <f t="shared" si="36"/>
        <v>2.3140000000000001</v>
      </c>
      <c r="O170" s="201">
        <f t="shared" si="36"/>
        <v>257.47900000000004</v>
      </c>
      <c r="P170" s="201">
        <f t="shared" si="36"/>
        <v>400.42300000000006</v>
      </c>
      <c r="Q170" s="201">
        <f t="shared" si="36"/>
        <v>0.84220000000000006</v>
      </c>
      <c r="R170" s="201">
        <f t="shared" si="36"/>
        <v>2.904E-2</v>
      </c>
      <c r="S170" s="201">
        <f t="shared" si="36"/>
        <v>77.580600000000004</v>
      </c>
      <c r="T170" s="201">
        <f t="shared" si="36"/>
        <v>5.8026</v>
      </c>
    </row>
    <row r="171" spans="2:20" s="176" customFormat="1" ht="18" customHeight="1" x14ac:dyDescent="0.3">
      <c r="B171" s="383" t="s">
        <v>242</v>
      </c>
      <c r="C171" s="384"/>
      <c r="D171" s="384"/>
      <c r="E171" s="385"/>
      <c r="F171" s="177">
        <v>90</v>
      </c>
      <c r="G171" s="177">
        <v>92</v>
      </c>
      <c r="H171" s="177">
        <v>383</v>
      </c>
      <c r="I171" s="177">
        <v>2720</v>
      </c>
      <c r="J171" s="177">
        <v>1.4</v>
      </c>
      <c r="K171" s="177">
        <v>1.6</v>
      </c>
      <c r="L171" s="177">
        <v>70</v>
      </c>
      <c r="M171" s="177">
        <v>0.9</v>
      </c>
      <c r="N171" s="177">
        <v>12</v>
      </c>
      <c r="O171" s="177">
        <v>1200</v>
      </c>
      <c r="P171" s="177">
        <v>1200</v>
      </c>
      <c r="Q171" s="177">
        <v>14</v>
      </c>
      <c r="R171" s="177">
        <v>0.1</v>
      </c>
      <c r="S171" s="177">
        <v>300</v>
      </c>
      <c r="T171" s="177">
        <v>18</v>
      </c>
    </row>
    <row r="172" spans="2:20" s="176" customFormat="1" ht="18" customHeight="1" x14ac:dyDescent="0.3">
      <c r="B172" s="350" t="s">
        <v>226</v>
      </c>
      <c r="C172" s="350"/>
      <c r="D172" s="350"/>
      <c r="E172" s="350"/>
      <c r="F172" s="179">
        <f t="shared" ref="F172:T172" si="37">F170/F171</f>
        <v>0.2909288888888889</v>
      </c>
      <c r="G172" s="179">
        <f t="shared" si="37"/>
        <v>0.2779630434782609</v>
      </c>
      <c r="H172" s="179">
        <f t="shared" si="37"/>
        <v>0.20822454308093996</v>
      </c>
      <c r="I172" s="179">
        <f t="shared" si="37"/>
        <v>0.23990661764705881</v>
      </c>
      <c r="J172" s="179">
        <f t="shared" si="37"/>
        <v>0.21585714285714289</v>
      </c>
      <c r="K172" s="179">
        <f t="shared" si="37"/>
        <v>0.27775</v>
      </c>
      <c r="L172" s="179">
        <f t="shared" si="37"/>
        <v>0.2019</v>
      </c>
      <c r="M172" s="179">
        <f t="shared" si="37"/>
        <v>0.48182222222222226</v>
      </c>
      <c r="N172" s="179">
        <f t="shared" si="37"/>
        <v>0.19283333333333333</v>
      </c>
      <c r="O172" s="179">
        <f t="shared" si="37"/>
        <v>0.21456583333333337</v>
      </c>
      <c r="P172" s="179">
        <f t="shared" si="37"/>
        <v>0.3336858333333334</v>
      </c>
      <c r="Q172" s="179">
        <f t="shared" si="37"/>
        <v>6.015714285714286E-2</v>
      </c>
      <c r="R172" s="179">
        <f t="shared" si="37"/>
        <v>0.29039999999999999</v>
      </c>
      <c r="S172" s="179">
        <f t="shared" si="37"/>
        <v>0.258602</v>
      </c>
      <c r="T172" s="179">
        <f t="shared" si="37"/>
        <v>0.32236666666666669</v>
      </c>
    </row>
    <row r="173" spans="2:20" s="176" customFormat="1" ht="18" customHeight="1" x14ac:dyDescent="0.3">
      <c r="B173" s="350" t="s">
        <v>296</v>
      </c>
      <c r="C173" s="350"/>
      <c r="D173" s="350"/>
      <c r="E173" s="350"/>
      <c r="F173" s="201">
        <f t="shared" ref="F173:T173" si="38">(F25+F59+F93+F126+F160)/5</f>
        <v>28.266000000000002</v>
      </c>
      <c r="G173" s="201">
        <f t="shared" si="38"/>
        <v>30.255799999999994</v>
      </c>
      <c r="H173" s="201">
        <f t="shared" si="38"/>
        <v>111.054</v>
      </c>
      <c r="I173" s="201">
        <f t="shared" si="38"/>
        <v>830.68939999999998</v>
      </c>
      <c r="J173" s="201">
        <f t="shared" si="38"/>
        <v>0.63560000000000005</v>
      </c>
      <c r="K173" s="201">
        <f t="shared" si="38"/>
        <v>0.4880000000000001</v>
      </c>
      <c r="L173" s="201">
        <f t="shared" si="38"/>
        <v>41.940599999999996</v>
      </c>
      <c r="M173" s="201">
        <f t="shared" si="38"/>
        <v>0.57979999999999998</v>
      </c>
      <c r="N173" s="201">
        <f t="shared" si="38"/>
        <v>5.7477999999999998</v>
      </c>
      <c r="O173" s="201">
        <f t="shared" si="38"/>
        <v>177.77199999999999</v>
      </c>
      <c r="P173" s="201">
        <f t="shared" si="38"/>
        <v>360.74799999999999</v>
      </c>
      <c r="Q173" s="201">
        <f t="shared" si="38"/>
        <v>2.8210000000000002</v>
      </c>
      <c r="R173" s="201">
        <f t="shared" si="38"/>
        <v>3.1576000000000007E-2</v>
      </c>
      <c r="S173" s="201">
        <f t="shared" si="38"/>
        <v>122.902</v>
      </c>
      <c r="T173" s="201">
        <f t="shared" si="38"/>
        <v>7.1819999999999995</v>
      </c>
    </row>
    <row r="174" spans="2:20" s="176" customFormat="1" ht="18" customHeight="1" x14ac:dyDescent="0.3">
      <c r="B174" s="350" t="s">
        <v>242</v>
      </c>
      <c r="C174" s="350"/>
      <c r="D174" s="350"/>
      <c r="E174" s="350"/>
      <c r="F174" s="177">
        <v>90</v>
      </c>
      <c r="G174" s="177">
        <v>92</v>
      </c>
      <c r="H174" s="177">
        <v>383</v>
      </c>
      <c r="I174" s="177">
        <v>2720</v>
      </c>
      <c r="J174" s="177">
        <v>1.4</v>
      </c>
      <c r="K174" s="177">
        <v>1.6</v>
      </c>
      <c r="L174" s="177">
        <v>70</v>
      </c>
      <c r="M174" s="177">
        <v>0.9</v>
      </c>
      <c r="N174" s="177">
        <v>12</v>
      </c>
      <c r="O174" s="177">
        <v>1200</v>
      </c>
      <c r="P174" s="177">
        <v>1200</v>
      </c>
      <c r="Q174" s="177">
        <v>14</v>
      </c>
      <c r="R174" s="177">
        <v>0.1</v>
      </c>
      <c r="S174" s="177">
        <v>300</v>
      </c>
      <c r="T174" s="177">
        <v>18</v>
      </c>
    </row>
    <row r="175" spans="2:20" s="176" customFormat="1" ht="18" customHeight="1" x14ac:dyDescent="0.3">
      <c r="B175" s="350" t="s">
        <v>226</v>
      </c>
      <c r="C175" s="350"/>
      <c r="D175" s="350"/>
      <c r="E175" s="350"/>
      <c r="F175" s="179">
        <f>F173/F174</f>
        <v>0.31406666666666666</v>
      </c>
      <c r="G175" s="179">
        <f t="shared" ref="G175:T175" si="39">G173/G174</f>
        <v>0.32886739130434778</v>
      </c>
      <c r="H175" s="179">
        <f t="shared" si="39"/>
        <v>0.28995822454308096</v>
      </c>
      <c r="I175" s="179">
        <f t="shared" si="39"/>
        <v>0.30540051470588236</v>
      </c>
      <c r="J175" s="179">
        <f t="shared" si="39"/>
        <v>0.45400000000000007</v>
      </c>
      <c r="K175" s="179">
        <f t="shared" si="39"/>
        <v>0.30500000000000005</v>
      </c>
      <c r="L175" s="179">
        <f t="shared" si="39"/>
        <v>0.59915142857142856</v>
      </c>
      <c r="M175" s="179">
        <f t="shared" si="39"/>
        <v>0.64422222222222214</v>
      </c>
      <c r="N175" s="179">
        <f t="shared" si="39"/>
        <v>0.47898333333333332</v>
      </c>
      <c r="O175" s="179">
        <f t="shared" si="39"/>
        <v>0.14814333333333332</v>
      </c>
      <c r="P175" s="179">
        <f t="shared" si="39"/>
        <v>0.3006233333333333</v>
      </c>
      <c r="Q175" s="179">
        <f t="shared" si="39"/>
        <v>0.20150000000000001</v>
      </c>
      <c r="R175" s="179">
        <f t="shared" si="39"/>
        <v>0.31576000000000004</v>
      </c>
      <c r="S175" s="179">
        <f t="shared" si="39"/>
        <v>0.40967333333333333</v>
      </c>
      <c r="T175" s="179">
        <f t="shared" si="39"/>
        <v>0.39899999999999997</v>
      </c>
    </row>
    <row r="176" spans="2:20" s="176" customFormat="1" ht="18" customHeight="1" x14ac:dyDescent="0.3">
      <c r="B176" s="350" t="s">
        <v>297</v>
      </c>
      <c r="C176" s="350"/>
      <c r="D176" s="350"/>
      <c r="E176" s="350"/>
      <c r="F176" s="201">
        <f t="shared" ref="F176:T176" si="40">(F30+F64+F98+F131+F165)/5</f>
        <v>9.2379999999999995</v>
      </c>
      <c r="G176" s="201">
        <f t="shared" si="40"/>
        <v>7.330000000000001</v>
      </c>
      <c r="H176" s="201">
        <f t="shared" si="40"/>
        <v>63.372</v>
      </c>
      <c r="I176" s="201">
        <f t="shared" si="40"/>
        <v>356.19799999999998</v>
      </c>
      <c r="J176" s="201">
        <f t="shared" si="40"/>
        <v>0.1</v>
      </c>
      <c r="K176" s="201">
        <f t="shared" si="40"/>
        <v>0.14400000000000002</v>
      </c>
      <c r="L176" s="201">
        <f t="shared" si="40"/>
        <v>1.58</v>
      </c>
      <c r="M176" s="201">
        <f t="shared" si="40"/>
        <v>0.1</v>
      </c>
      <c r="N176" s="201">
        <f t="shared" si="40"/>
        <v>1.2199999999999999E-2</v>
      </c>
      <c r="O176" s="201">
        <f t="shared" si="40"/>
        <v>88.224000000000004</v>
      </c>
      <c r="P176" s="201">
        <f t="shared" si="40"/>
        <v>83.073999999999998</v>
      </c>
      <c r="Q176" s="201">
        <f t="shared" si="40"/>
        <v>8.4000000000000005E-2</v>
      </c>
      <c r="R176" s="201">
        <f t="shared" si="40"/>
        <v>2.0000000000000001E-4</v>
      </c>
      <c r="S176" s="201">
        <f t="shared" si="40"/>
        <v>21.898</v>
      </c>
      <c r="T176" s="201">
        <f t="shared" si="40"/>
        <v>1.4259999999999999</v>
      </c>
    </row>
    <row r="177" spans="2:20" s="176" customFormat="1" ht="18" customHeight="1" x14ac:dyDescent="0.3">
      <c r="B177" s="350" t="s">
        <v>242</v>
      </c>
      <c r="C177" s="350"/>
      <c r="D177" s="350"/>
      <c r="E177" s="350"/>
      <c r="F177" s="177">
        <v>90</v>
      </c>
      <c r="G177" s="177">
        <v>92</v>
      </c>
      <c r="H177" s="177">
        <v>383</v>
      </c>
      <c r="I177" s="177">
        <v>2720</v>
      </c>
      <c r="J177" s="177">
        <v>1.4</v>
      </c>
      <c r="K177" s="177">
        <v>1.6</v>
      </c>
      <c r="L177" s="177">
        <v>70</v>
      </c>
      <c r="M177" s="177">
        <v>0.9</v>
      </c>
      <c r="N177" s="177">
        <v>12</v>
      </c>
      <c r="O177" s="177">
        <v>1200</v>
      </c>
      <c r="P177" s="177">
        <v>1200</v>
      </c>
      <c r="Q177" s="177">
        <v>14</v>
      </c>
      <c r="R177" s="177">
        <v>0.1</v>
      </c>
      <c r="S177" s="177">
        <v>300</v>
      </c>
      <c r="T177" s="177">
        <v>18</v>
      </c>
    </row>
    <row r="178" spans="2:20" s="176" customFormat="1" ht="18" customHeight="1" x14ac:dyDescent="0.3">
      <c r="B178" s="350" t="s">
        <v>226</v>
      </c>
      <c r="C178" s="350"/>
      <c r="D178" s="350"/>
      <c r="E178" s="350"/>
      <c r="F178" s="179">
        <f>F176/F177</f>
        <v>0.10264444444444444</v>
      </c>
      <c r="G178" s="179">
        <f t="shared" ref="G178:T178" si="41">G176/G177</f>
        <v>7.9673913043478276E-2</v>
      </c>
      <c r="H178" s="179">
        <f t="shared" si="41"/>
        <v>0.16546214099216711</v>
      </c>
      <c r="I178" s="179">
        <f t="shared" si="41"/>
        <v>0.13095514705882352</v>
      </c>
      <c r="J178" s="179">
        <f t="shared" si="41"/>
        <v>7.1428571428571438E-2</v>
      </c>
      <c r="K178" s="179">
        <f t="shared" si="41"/>
        <v>9.0000000000000011E-2</v>
      </c>
      <c r="L178" s="179">
        <f t="shared" si="41"/>
        <v>2.2571428571428572E-2</v>
      </c>
      <c r="M178" s="179">
        <f t="shared" si="41"/>
        <v>0.11111111111111112</v>
      </c>
      <c r="N178" s="179">
        <f t="shared" si="41"/>
        <v>1.0166666666666666E-3</v>
      </c>
      <c r="O178" s="179">
        <f t="shared" si="41"/>
        <v>7.3520000000000002E-2</v>
      </c>
      <c r="P178" s="179">
        <f t="shared" si="41"/>
        <v>6.9228333333333336E-2</v>
      </c>
      <c r="Q178" s="179">
        <f t="shared" si="41"/>
        <v>6.0000000000000001E-3</v>
      </c>
      <c r="R178" s="179">
        <f t="shared" si="41"/>
        <v>2E-3</v>
      </c>
      <c r="S178" s="179">
        <f t="shared" si="41"/>
        <v>7.2993333333333327E-2</v>
      </c>
      <c r="T178" s="179">
        <f t="shared" si="41"/>
        <v>7.9222222222222222E-2</v>
      </c>
    </row>
    <row r="179" spans="2:20" s="176" customFormat="1" ht="18" customHeight="1" x14ac:dyDescent="0.3">
      <c r="B179" s="350" t="s">
        <v>298</v>
      </c>
      <c r="C179" s="350"/>
      <c r="D179" s="350"/>
      <c r="E179" s="350"/>
      <c r="F179" s="201">
        <f t="shared" ref="F179:T179" si="42">F170+F173+F176</f>
        <v>63.687600000000003</v>
      </c>
      <c r="G179" s="201">
        <f t="shared" si="42"/>
        <v>63.158399999999993</v>
      </c>
      <c r="H179" s="201">
        <f t="shared" si="42"/>
        <v>254.17599999999999</v>
      </c>
      <c r="I179" s="201">
        <f t="shared" si="42"/>
        <v>1839.4333999999999</v>
      </c>
      <c r="J179" s="201">
        <f t="shared" si="42"/>
        <v>1.0378000000000001</v>
      </c>
      <c r="K179" s="201">
        <f t="shared" si="42"/>
        <v>1.0764</v>
      </c>
      <c r="L179" s="201">
        <f t="shared" si="42"/>
        <v>57.653599999999997</v>
      </c>
      <c r="M179" s="201">
        <f t="shared" si="42"/>
        <v>1.1134400000000002</v>
      </c>
      <c r="N179" s="201">
        <f t="shared" si="42"/>
        <v>8.0739999999999998</v>
      </c>
      <c r="O179" s="201">
        <f t="shared" si="42"/>
        <v>523.47500000000002</v>
      </c>
      <c r="P179" s="201">
        <f t="shared" si="42"/>
        <v>844.245</v>
      </c>
      <c r="Q179" s="201">
        <f t="shared" si="42"/>
        <v>3.7472000000000003</v>
      </c>
      <c r="R179" s="201">
        <f t="shared" si="42"/>
        <v>6.0816000000000002E-2</v>
      </c>
      <c r="S179" s="201">
        <f t="shared" si="42"/>
        <v>222.38059999999999</v>
      </c>
      <c r="T179" s="201">
        <f t="shared" si="42"/>
        <v>14.410600000000001</v>
      </c>
    </row>
    <row r="180" spans="2:20" s="176" customFormat="1" ht="18" customHeight="1" x14ac:dyDescent="0.3">
      <c r="B180" s="350" t="s">
        <v>242</v>
      </c>
      <c r="C180" s="350"/>
      <c r="D180" s="350"/>
      <c r="E180" s="350"/>
      <c r="F180" s="177">
        <v>90</v>
      </c>
      <c r="G180" s="177">
        <v>92</v>
      </c>
      <c r="H180" s="177">
        <v>383</v>
      </c>
      <c r="I180" s="177">
        <v>2720</v>
      </c>
      <c r="J180" s="177">
        <v>1.4</v>
      </c>
      <c r="K180" s="177">
        <v>1.6</v>
      </c>
      <c r="L180" s="177">
        <v>70</v>
      </c>
      <c r="M180" s="177">
        <v>0.9</v>
      </c>
      <c r="N180" s="177">
        <v>12</v>
      </c>
      <c r="O180" s="177">
        <v>1200</v>
      </c>
      <c r="P180" s="177">
        <v>1200</v>
      </c>
      <c r="Q180" s="177">
        <v>14</v>
      </c>
      <c r="R180" s="177">
        <v>0.1</v>
      </c>
      <c r="S180" s="177">
        <v>300</v>
      </c>
      <c r="T180" s="177">
        <v>18</v>
      </c>
    </row>
    <row r="181" spans="2:20" s="176" customFormat="1" ht="18" customHeight="1" x14ac:dyDescent="0.3">
      <c r="B181" s="350" t="s">
        <v>226</v>
      </c>
      <c r="C181" s="350"/>
      <c r="D181" s="350"/>
      <c r="E181" s="350"/>
      <c r="F181" s="179">
        <f>F179/F180</f>
        <v>0.70764000000000005</v>
      </c>
      <c r="G181" s="179">
        <f t="shared" ref="G181:T181" si="43">G179/G180</f>
        <v>0.68650434782608694</v>
      </c>
      <c r="H181" s="179">
        <f t="shared" si="43"/>
        <v>0.66364490861618797</v>
      </c>
      <c r="I181" s="179">
        <f t="shared" si="43"/>
        <v>0.67626227941176464</v>
      </c>
      <c r="J181" s="179">
        <f t="shared" si="43"/>
        <v>0.74128571428571433</v>
      </c>
      <c r="K181" s="179">
        <f t="shared" si="43"/>
        <v>0.67274999999999996</v>
      </c>
      <c r="L181" s="179">
        <f t="shared" si="43"/>
        <v>0.8236228571428571</v>
      </c>
      <c r="M181" s="179">
        <f t="shared" si="43"/>
        <v>1.2371555555555558</v>
      </c>
      <c r="N181" s="179">
        <f t="shared" si="43"/>
        <v>0.67283333333333328</v>
      </c>
      <c r="O181" s="179">
        <f t="shared" si="43"/>
        <v>0.43622916666666667</v>
      </c>
      <c r="P181" s="179">
        <f t="shared" si="43"/>
        <v>0.70353750000000004</v>
      </c>
      <c r="Q181" s="179">
        <f t="shared" si="43"/>
        <v>0.26765714285714287</v>
      </c>
      <c r="R181" s="179">
        <f t="shared" si="43"/>
        <v>0.60816000000000003</v>
      </c>
      <c r="S181" s="179">
        <f t="shared" si="43"/>
        <v>0.74126866666666658</v>
      </c>
      <c r="T181" s="179">
        <f t="shared" si="43"/>
        <v>0.80058888888888891</v>
      </c>
    </row>
    <row r="182" spans="2:20" s="176" customFormat="1" ht="18" customHeight="1" x14ac:dyDescent="0.3">
      <c r="B182" s="253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372" t="s">
        <v>187</v>
      </c>
      <c r="N182" s="372"/>
      <c r="O182" s="372"/>
      <c r="P182" s="372"/>
      <c r="Q182" s="372"/>
      <c r="R182" s="372"/>
      <c r="S182" s="372"/>
      <c r="T182" s="372"/>
    </row>
    <row r="183" spans="2:20" s="176" customFormat="1" ht="18" customHeight="1" x14ac:dyDescent="0.3">
      <c r="B183" s="355" t="s">
        <v>299</v>
      </c>
      <c r="C183" s="355"/>
      <c r="D183" s="355"/>
      <c r="E183" s="355"/>
      <c r="F183" s="355"/>
      <c r="G183" s="355"/>
      <c r="H183" s="355"/>
      <c r="I183" s="355"/>
      <c r="J183" s="355"/>
      <c r="K183" s="355"/>
      <c r="L183" s="355"/>
      <c r="M183" s="355"/>
      <c r="N183" s="355"/>
      <c r="O183" s="355"/>
      <c r="P183" s="355"/>
      <c r="Q183" s="355"/>
      <c r="R183" s="355"/>
      <c r="S183" s="355"/>
      <c r="T183" s="355"/>
    </row>
    <row r="184" spans="2:20" s="176" customFormat="1" ht="18" customHeight="1" x14ac:dyDescent="0.3">
      <c r="B184" s="350" t="s">
        <v>189</v>
      </c>
      <c r="C184" s="350"/>
      <c r="D184" s="177"/>
      <c r="E184" s="177"/>
      <c r="F184" s="177"/>
      <c r="G184" s="372" t="s">
        <v>190</v>
      </c>
      <c r="H184" s="372"/>
      <c r="I184" s="372"/>
      <c r="J184" s="177"/>
      <c r="K184" s="177"/>
      <c r="L184" s="350" t="s">
        <v>191</v>
      </c>
      <c r="M184" s="350"/>
      <c r="N184" s="372" t="s">
        <v>192</v>
      </c>
      <c r="O184" s="372"/>
      <c r="P184" s="372"/>
      <c r="Q184" s="372"/>
      <c r="R184" s="177"/>
      <c r="S184" s="177"/>
      <c r="T184" s="177"/>
    </row>
    <row r="185" spans="2:20" s="176" customFormat="1" ht="18" customHeight="1" x14ac:dyDescent="0.3">
      <c r="B185" s="177"/>
      <c r="C185" s="177"/>
      <c r="D185" s="177"/>
      <c r="E185" s="355" t="s">
        <v>194</v>
      </c>
      <c r="F185" s="355"/>
      <c r="G185" s="177">
        <v>2</v>
      </c>
      <c r="H185" s="177"/>
      <c r="I185" s="177"/>
      <c r="J185" s="177"/>
      <c r="K185" s="177"/>
      <c r="L185" s="350" t="s">
        <v>195</v>
      </c>
      <c r="M185" s="350"/>
      <c r="N185" s="372" t="s">
        <v>347</v>
      </c>
      <c r="O185" s="372"/>
      <c r="P185" s="372"/>
      <c r="Q185" s="372"/>
      <c r="R185" s="372"/>
      <c r="S185" s="372"/>
      <c r="T185" s="372"/>
    </row>
    <row r="186" spans="2:20" s="176" customFormat="1" ht="18" customHeight="1" x14ac:dyDescent="0.3">
      <c r="B186" s="255" t="s">
        <v>0</v>
      </c>
      <c r="C186" s="378" t="s">
        <v>198</v>
      </c>
      <c r="D186" s="378"/>
      <c r="E186" s="378" t="s">
        <v>199</v>
      </c>
      <c r="F186" s="378" t="s">
        <v>200</v>
      </c>
      <c r="G186" s="378"/>
      <c r="H186" s="378"/>
      <c r="I186" s="255" t="s">
        <v>201</v>
      </c>
      <c r="J186" s="378" t="s">
        <v>202</v>
      </c>
      <c r="K186" s="378"/>
      <c r="L186" s="378"/>
      <c r="M186" s="378"/>
      <c r="N186" s="378"/>
      <c r="O186" s="378" t="s">
        <v>203</v>
      </c>
      <c r="P186" s="378"/>
      <c r="Q186" s="378"/>
      <c r="R186" s="378"/>
      <c r="S186" s="378"/>
      <c r="T186" s="378"/>
    </row>
    <row r="187" spans="2:20" s="176" customFormat="1" ht="18" customHeight="1" x14ac:dyDescent="0.3">
      <c r="B187" s="255" t="s">
        <v>245</v>
      </c>
      <c r="C187" s="378"/>
      <c r="D187" s="378"/>
      <c r="E187" s="378"/>
      <c r="F187" s="255" t="s">
        <v>204</v>
      </c>
      <c r="G187" s="255" t="s">
        <v>205</v>
      </c>
      <c r="H187" s="255" t="s">
        <v>206</v>
      </c>
      <c r="I187" s="255" t="s">
        <v>207</v>
      </c>
      <c r="J187" s="255" t="s">
        <v>208</v>
      </c>
      <c r="K187" s="255" t="s">
        <v>209</v>
      </c>
      <c r="L187" s="255" t="s">
        <v>210</v>
      </c>
      <c r="M187" s="255" t="s">
        <v>211</v>
      </c>
      <c r="N187" s="255" t="s">
        <v>212</v>
      </c>
      <c r="O187" s="255" t="s">
        <v>213</v>
      </c>
      <c r="P187" s="255" t="s">
        <v>214</v>
      </c>
      <c r="Q187" s="255" t="s">
        <v>215</v>
      </c>
      <c r="R187" s="255" t="s">
        <v>216</v>
      </c>
      <c r="S187" s="255" t="s">
        <v>217</v>
      </c>
      <c r="T187" s="255" t="s">
        <v>218</v>
      </c>
    </row>
    <row r="188" spans="2:20" s="176" customFormat="1" ht="18" customHeight="1" x14ac:dyDescent="0.3">
      <c r="B188" s="183">
        <v>1</v>
      </c>
      <c r="C188" s="373">
        <v>2</v>
      </c>
      <c r="D188" s="373"/>
      <c r="E188" s="183">
        <v>3</v>
      </c>
      <c r="F188" s="183">
        <v>4</v>
      </c>
      <c r="G188" s="183">
        <v>5</v>
      </c>
      <c r="H188" s="183">
        <v>6</v>
      </c>
      <c r="I188" s="183">
        <v>7</v>
      </c>
      <c r="J188" s="183">
        <v>8</v>
      </c>
      <c r="K188" s="183">
        <v>9</v>
      </c>
      <c r="L188" s="183">
        <v>10</v>
      </c>
      <c r="M188" s="183">
        <v>11</v>
      </c>
      <c r="N188" s="183">
        <v>12</v>
      </c>
      <c r="O188" s="183">
        <v>13</v>
      </c>
      <c r="P188" s="183">
        <v>14</v>
      </c>
      <c r="Q188" s="183">
        <v>15</v>
      </c>
      <c r="R188" s="183">
        <v>16</v>
      </c>
      <c r="S188" s="183">
        <v>17</v>
      </c>
      <c r="T188" s="183">
        <v>18</v>
      </c>
    </row>
    <row r="189" spans="2:20" s="176" customFormat="1" ht="18" customHeight="1" x14ac:dyDescent="0.3">
      <c r="B189" s="355" t="s">
        <v>219</v>
      </c>
      <c r="C189" s="355"/>
      <c r="D189" s="355"/>
      <c r="E189" s="355"/>
      <c r="F189" s="355"/>
      <c r="G189" s="355"/>
      <c r="H189" s="355"/>
      <c r="I189" s="355"/>
      <c r="J189" s="355"/>
      <c r="K189" s="355"/>
      <c r="L189" s="355"/>
      <c r="M189" s="355"/>
      <c r="N189" s="355"/>
      <c r="O189" s="355"/>
      <c r="P189" s="355"/>
      <c r="Q189" s="355"/>
      <c r="R189" s="355"/>
      <c r="S189" s="355"/>
      <c r="T189" s="355"/>
    </row>
    <row r="190" spans="2:20" s="176" customFormat="1" ht="18" customHeight="1" x14ac:dyDescent="0.3">
      <c r="B190" s="259">
        <v>338</v>
      </c>
      <c r="C190" s="370" t="s">
        <v>300</v>
      </c>
      <c r="D190" s="370"/>
      <c r="E190" s="259">
        <v>100</v>
      </c>
      <c r="F190" s="259">
        <v>0.9</v>
      </c>
      <c r="G190" s="259">
        <v>0.2</v>
      </c>
      <c r="H190" s="259">
        <v>8.1</v>
      </c>
      <c r="I190" s="259">
        <v>37.799999999999997</v>
      </c>
      <c r="J190" s="259">
        <v>0.04</v>
      </c>
      <c r="K190" s="259">
        <v>0.03</v>
      </c>
      <c r="L190" s="259">
        <v>60</v>
      </c>
      <c r="M190" s="259">
        <v>0.01</v>
      </c>
      <c r="N190" s="259">
        <v>0.2</v>
      </c>
      <c r="O190" s="259">
        <v>34</v>
      </c>
      <c r="P190" s="259">
        <v>23</v>
      </c>
      <c r="Q190" s="259">
        <v>0.2</v>
      </c>
      <c r="R190" s="259">
        <v>0</v>
      </c>
      <c r="S190" s="259">
        <v>15</v>
      </c>
      <c r="T190" s="259">
        <v>0.3</v>
      </c>
    </row>
    <row r="191" spans="2:20" s="176" customFormat="1" ht="25.5" customHeight="1" x14ac:dyDescent="0.3">
      <c r="B191" s="177">
        <v>15</v>
      </c>
      <c r="C191" s="352" t="s">
        <v>221</v>
      </c>
      <c r="D191" s="352"/>
      <c r="E191" s="177">
        <v>20</v>
      </c>
      <c r="F191" s="177">
        <v>4.6399999999999997</v>
      </c>
      <c r="G191" s="177">
        <v>6.8</v>
      </c>
      <c r="H191" s="177">
        <v>0.02</v>
      </c>
      <c r="I191" s="177">
        <v>79.8</v>
      </c>
      <c r="J191" s="177">
        <v>0.01</v>
      </c>
      <c r="K191" s="177">
        <v>0.06</v>
      </c>
      <c r="L191" s="177">
        <v>0.14000000000000001</v>
      </c>
      <c r="M191" s="177">
        <v>4.5999999999999999E-2</v>
      </c>
      <c r="N191" s="177">
        <v>0.1</v>
      </c>
      <c r="O191" s="177">
        <v>176</v>
      </c>
      <c r="P191" s="177">
        <v>100</v>
      </c>
      <c r="Q191" s="177">
        <v>0.8</v>
      </c>
      <c r="R191" s="177">
        <v>0.04</v>
      </c>
      <c r="S191" s="177">
        <v>7</v>
      </c>
      <c r="T191" s="177">
        <v>0.26</v>
      </c>
    </row>
    <row r="192" spans="2:20" s="176" customFormat="1" ht="18" customHeight="1" x14ac:dyDescent="0.3">
      <c r="B192" s="177">
        <v>173</v>
      </c>
      <c r="C192" s="352" t="s">
        <v>301</v>
      </c>
      <c r="D192" s="352"/>
      <c r="E192" s="177">
        <v>200</v>
      </c>
      <c r="F192" s="177">
        <v>7.3</v>
      </c>
      <c r="G192" s="177">
        <v>12.5</v>
      </c>
      <c r="H192" s="177">
        <v>54.3</v>
      </c>
      <c r="I192" s="177">
        <v>358.9</v>
      </c>
      <c r="J192" s="177">
        <v>0.1</v>
      </c>
      <c r="K192" s="177">
        <v>0.2</v>
      </c>
      <c r="L192" s="177">
        <v>3.4</v>
      </c>
      <c r="M192" s="177">
        <v>3.6999999999999998E-2</v>
      </c>
      <c r="N192" s="177">
        <v>1.3</v>
      </c>
      <c r="O192" s="177">
        <v>147.6</v>
      </c>
      <c r="P192" s="177">
        <v>198.6</v>
      </c>
      <c r="Q192" s="177">
        <v>0</v>
      </c>
      <c r="R192" s="177">
        <v>0</v>
      </c>
      <c r="S192" s="177">
        <v>57.8</v>
      </c>
      <c r="T192" s="177">
        <v>1.3</v>
      </c>
    </row>
    <row r="193" spans="2:20" s="176" customFormat="1" ht="18" customHeight="1" x14ac:dyDescent="0.3">
      <c r="B193" s="177">
        <v>379</v>
      </c>
      <c r="C193" s="352" t="s">
        <v>250</v>
      </c>
      <c r="D193" s="352"/>
      <c r="E193" s="177">
        <v>200</v>
      </c>
      <c r="F193" s="177">
        <v>2.8</v>
      </c>
      <c r="G193" s="177">
        <v>3.2</v>
      </c>
      <c r="H193" s="177">
        <v>24.66</v>
      </c>
      <c r="I193" s="177">
        <v>138.63999999999999</v>
      </c>
      <c r="J193" s="177">
        <v>0.04</v>
      </c>
      <c r="K193" s="177">
        <v>0.15</v>
      </c>
      <c r="L193" s="177">
        <v>1.3</v>
      </c>
      <c r="M193" s="177">
        <v>0.03</v>
      </c>
      <c r="N193" s="177">
        <v>0.06</v>
      </c>
      <c r="O193" s="177">
        <v>120.4</v>
      </c>
      <c r="P193" s="177">
        <v>90</v>
      </c>
      <c r="Q193" s="177">
        <v>1.1000000000000001</v>
      </c>
      <c r="R193" s="177">
        <v>0.01</v>
      </c>
      <c r="S193" s="177">
        <v>14</v>
      </c>
      <c r="T193" s="177">
        <v>0.12</v>
      </c>
    </row>
    <row r="194" spans="2:20" s="176" customFormat="1" ht="18" customHeight="1" x14ac:dyDescent="0.3">
      <c r="B194" s="177" t="s">
        <v>224</v>
      </c>
      <c r="C194" s="352" t="s">
        <v>302</v>
      </c>
      <c r="D194" s="352"/>
      <c r="E194" s="177">
        <v>40</v>
      </c>
      <c r="F194" s="177">
        <v>2.67</v>
      </c>
      <c r="G194" s="177">
        <v>0.53</v>
      </c>
      <c r="H194" s="177">
        <v>13.73</v>
      </c>
      <c r="I194" s="177">
        <v>70.400000000000006</v>
      </c>
      <c r="J194" s="177">
        <v>0.13</v>
      </c>
      <c r="K194" s="177">
        <v>1.2999999999999999E-2</v>
      </c>
      <c r="L194" s="177">
        <v>0.1</v>
      </c>
      <c r="M194" s="177">
        <v>0</v>
      </c>
      <c r="N194" s="177">
        <v>0.93</v>
      </c>
      <c r="O194" s="177">
        <v>14</v>
      </c>
      <c r="P194" s="177">
        <v>63.2</v>
      </c>
      <c r="Q194" s="177">
        <v>1.2999999999999999E-2</v>
      </c>
      <c r="R194" s="177">
        <v>1.2999999999999999E-2</v>
      </c>
      <c r="S194" s="177">
        <v>18.8</v>
      </c>
      <c r="T194" s="177">
        <v>1.6</v>
      </c>
    </row>
    <row r="195" spans="2:20" s="176" customFormat="1" ht="18" customHeight="1" x14ac:dyDescent="0.3">
      <c r="B195" s="350" t="s">
        <v>225</v>
      </c>
      <c r="C195" s="350"/>
      <c r="D195" s="350"/>
      <c r="E195" s="178">
        <f>SUM(E190:E194)</f>
        <v>560</v>
      </c>
      <c r="F195" s="178">
        <f t="shared" ref="F195:T195" si="44">SUM(F190:F194)</f>
        <v>18.310000000000002</v>
      </c>
      <c r="G195" s="178">
        <f t="shared" si="44"/>
        <v>23.23</v>
      </c>
      <c r="H195" s="178">
        <f t="shared" si="44"/>
        <v>100.81</v>
      </c>
      <c r="I195" s="178">
        <f t="shared" si="44"/>
        <v>685.54</v>
      </c>
      <c r="J195" s="178">
        <f t="shared" si="44"/>
        <v>0.32000000000000006</v>
      </c>
      <c r="K195" s="178">
        <f t="shared" si="44"/>
        <v>0.45300000000000007</v>
      </c>
      <c r="L195" s="178">
        <f t="shared" si="44"/>
        <v>64.94</v>
      </c>
      <c r="M195" s="178">
        <f t="shared" si="44"/>
        <v>0.123</v>
      </c>
      <c r="N195" s="178">
        <f t="shared" si="44"/>
        <v>2.5900000000000003</v>
      </c>
      <c r="O195" s="178">
        <f t="shared" si="44"/>
        <v>492</v>
      </c>
      <c r="P195" s="178">
        <f t="shared" si="44"/>
        <v>474.8</v>
      </c>
      <c r="Q195" s="178">
        <f t="shared" si="44"/>
        <v>2.113</v>
      </c>
      <c r="R195" s="178">
        <f t="shared" si="44"/>
        <v>6.3E-2</v>
      </c>
      <c r="S195" s="178">
        <f t="shared" si="44"/>
        <v>112.6</v>
      </c>
      <c r="T195" s="178">
        <f t="shared" si="44"/>
        <v>3.58</v>
      </c>
    </row>
    <row r="196" spans="2:20" s="176" customFormat="1" ht="18" customHeight="1" x14ac:dyDescent="0.3">
      <c r="B196" s="350" t="s">
        <v>226</v>
      </c>
      <c r="C196" s="350"/>
      <c r="D196" s="350"/>
      <c r="E196" s="350"/>
      <c r="F196" s="179">
        <f t="shared" ref="F196:T196" si="45">F195/F214</f>
        <v>0.20344444444444448</v>
      </c>
      <c r="G196" s="179">
        <f t="shared" si="45"/>
        <v>0.2525</v>
      </c>
      <c r="H196" s="179">
        <f t="shared" si="45"/>
        <v>0.26321148825065277</v>
      </c>
      <c r="I196" s="179">
        <f t="shared" si="45"/>
        <v>0.25203676470588232</v>
      </c>
      <c r="J196" s="179">
        <f t="shared" si="45"/>
        <v>0.22857142857142862</v>
      </c>
      <c r="K196" s="179">
        <f t="shared" si="45"/>
        <v>0.28312500000000002</v>
      </c>
      <c r="L196" s="179">
        <f t="shared" si="45"/>
        <v>0.92771428571428571</v>
      </c>
      <c r="M196" s="179">
        <f t="shared" si="45"/>
        <v>0.13666666666666666</v>
      </c>
      <c r="N196" s="179">
        <f t="shared" si="45"/>
        <v>0.21583333333333335</v>
      </c>
      <c r="O196" s="179">
        <f t="shared" si="45"/>
        <v>0.41</v>
      </c>
      <c r="P196" s="179">
        <f t="shared" si="45"/>
        <v>0.39566666666666667</v>
      </c>
      <c r="Q196" s="179">
        <f t="shared" si="45"/>
        <v>0.15092857142857144</v>
      </c>
      <c r="R196" s="179">
        <f t="shared" si="45"/>
        <v>0.63</v>
      </c>
      <c r="S196" s="179">
        <f t="shared" si="45"/>
        <v>0.3753333333333333</v>
      </c>
      <c r="T196" s="179">
        <f t="shared" si="45"/>
        <v>0.19888888888888889</v>
      </c>
    </row>
    <row r="197" spans="2:20" s="176" customFormat="1" ht="18" customHeight="1" x14ac:dyDescent="0.3">
      <c r="B197" s="355" t="s">
        <v>227</v>
      </c>
      <c r="C197" s="355"/>
      <c r="D197" s="355"/>
      <c r="E197" s="355"/>
      <c r="F197" s="355"/>
      <c r="G197" s="355"/>
      <c r="H197" s="355"/>
      <c r="I197" s="355"/>
      <c r="J197" s="355"/>
      <c r="K197" s="355"/>
      <c r="L197" s="355"/>
      <c r="M197" s="355"/>
      <c r="N197" s="355"/>
      <c r="O197" s="355"/>
      <c r="P197" s="355"/>
      <c r="Q197" s="355"/>
      <c r="R197" s="355"/>
      <c r="S197" s="355"/>
      <c r="T197" s="355"/>
    </row>
    <row r="198" spans="2:20" s="176" customFormat="1" ht="18" customHeight="1" x14ac:dyDescent="0.3">
      <c r="B198" s="173" t="s">
        <v>268</v>
      </c>
      <c r="C198" s="359" t="s">
        <v>269</v>
      </c>
      <c r="D198" s="359"/>
      <c r="E198" s="177">
        <v>100</v>
      </c>
      <c r="F198" s="177">
        <v>0.83</v>
      </c>
      <c r="G198" s="177">
        <v>5.03</v>
      </c>
      <c r="H198" s="177">
        <v>1.84</v>
      </c>
      <c r="I198" s="177">
        <v>56</v>
      </c>
      <c r="J198" s="177">
        <v>0.15</v>
      </c>
      <c r="K198" s="177">
        <v>0.03</v>
      </c>
      <c r="L198" s="177">
        <v>7.08</v>
      </c>
      <c r="M198" s="177">
        <v>0.15</v>
      </c>
      <c r="N198" s="177"/>
      <c r="O198" s="177">
        <v>33.96</v>
      </c>
      <c r="P198" s="177">
        <v>23.22</v>
      </c>
      <c r="Q198" s="177"/>
      <c r="R198" s="177">
        <v>0</v>
      </c>
      <c r="S198" s="177">
        <v>13.92</v>
      </c>
      <c r="T198" s="177">
        <v>0.64</v>
      </c>
    </row>
    <row r="199" spans="2:20" s="176" customFormat="1" ht="18" customHeight="1" x14ac:dyDescent="0.3">
      <c r="B199" s="177">
        <v>24</v>
      </c>
      <c r="C199" s="352" t="s">
        <v>270</v>
      </c>
      <c r="D199" s="352"/>
      <c r="E199" s="177">
        <v>100</v>
      </c>
      <c r="F199" s="177">
        <v>0.5</v>
      </c>
      <c r="G199" s="177">
        <v>3.33</v>
      </c>
      <c r="H199" s="177">
        <v>2.67</v>
      </c>
      <c r="I199" s="177">
        <v>42.67</v>
      </c>
      <c r="J199" s="177">
        <v>0.1</v>
      </c>
      <c r="K199" s="177">
        <v>7.0000000000000007E-2</v>
      </c>
      <c r="L199" s="177">
        <v>20.67</v>
      </c>
      <c r="M199" s="177">
        <v>2E-3</v>
      </c>
      <c r="N199" s="177">
        <v>2.5</v>
      </c>
      <c r="O199" s="177">
        <v>47</v>
      </c>
      <c r="P199" s="177">
        <v>53.83</v>
      </c>
      <c r="Q199" s="177">
        <v>0.5</v>
      </c>
      <c r="R199" s="177">
        <v>3.0000000000000001E-3</v>
      </c>
      <c r="S199" s="177">
        <v>31</v>
      </c>
      <c r="T199" s="177">
        <v>0.83</v>
      </c>
    </row>
    <row r="200" spans="2:20" s="176" customFormat="1" ht="18" customHeight="1" x14ac:dyDescent="0.3">
      <c r="B200" s="173">
        <v>84</v>
      </c>
      <c r="C200" s="359" t="s">
        <v>303</v>
      </c>
      <c r="D200" s="359"/>
      <c r="E200" s="177">
        <v>250</v>
      </c>
      <c r="F200" s="177">
        <v>2.21</v>
      </c>
      <c r="G200" s="177">
        <v>3.31</v>
      </c>
      <c r="H200" s="177">
        <v>15.93</v>
      </c>
      <c r="I200" s="177">
        <v>102.36</v>
      </c>
      <c r="J200" s="177">
        <v>0.06</v>
      </c>
      <c r="K200" s="177">
        <v>0.06</v>
      </c>
      <c r="L200" s="177">
        <v>23.75</v>
      </c>
      <c r="M200" s="177">
        <v>0.93</v>
      </c>
      <c r="N200" s="177">
        <v>0.125</v>
      </c>
      <c r="O200" s="177">
        <v>53.89</v>
      </c>
      <c r="P200" s="177">
        <v>60.94</v>
      </c>
      <c r="Q200" s="177">
        <v>1.6</v>
      </c>
      <c r="R200" s="177">
        <v>4.0000000000000001E-3</v>
      </c>
      <c r="S200" s="177">
        <v>28.05</v>
      </c>
      <c r="T200" s="177">
        <v>1</v>
      </c>
    </row>
    <row r="201" spans="2:20" s="176" customFormat="1" ht="18" customHeight="1" x14ac:dyDescent="0.3">
      <c r="B201" s="260">
        <v>260</v>
      </c>
      <c r="C201" s="382" t="s">
        <v>232</v>
      </c>
      <c r="D201" s="382"/>
      <c r="E201" s="260">
        <v>100</v>
      </c>
      <c r="F201" s="260">
        <v>12.55</v>
      </c>
      <c r="G201" s="260">
        <v>12.99</v>
      </c>
      <c r="H201" s="260">
        <v>4.01</v>
      </c>
      <c r="I201" s="260">
        <v>182.25</v>
      </c>
      <c r="J201" s="260">
        <v>7.0000000000000007E-2</v>
      </c>
      <c r="K201" s="260">
        <v>0.11</v>
      </c>
      <c r="L201" s="260">
        <v>5.07</v>
      </c>
      <c r="M201" s="260">
        <v>1.49</v>
      </c>
      <c r="N201" s="260">
        <v>2.25</v>
      </c>
      <c r="O201" s="260">
        <v>30.52</v>
      </c>
      <c r="P201" s="260">
        <v>119.19</v>
      </c>
      <c r="Q201" s="260"/>
      <c r="R201" s="260"/>
      <c r="S201" s="260">
        <v>24.03</v>
      </c>
      <c r="T201" s="260">
        <v>2.1</v>
      </c>
    </row>
    <row r="202" spans="2:20" s="176" customFormat="1" ht="18" customHeight="1" x14ac:dyDescent="0.3">
      <c r="B202" s="177">
        <v>203</v>
      </c>
      <c r="C202" s="352" t="s">
        <v>233</v>
      </c>
      <c r="D202" s="352"/>
      <c r="E202" s="177">
        <v>180</v>
      </c>
      <c r="F202" s="177">
        <v>6.84</v>
      </c>
      <c r="G202" s="177">
        <v>4.1159999999999997</v>
      </c>
      <c r="H202" s="177">
        <v>43.74</v>
      </c>
      <c r="I202" s="177">
        <v>239.364</v>
      </c>
      <c r="J202" s="177">
        <v>0.108</v>
      </c>
      <c r="K202" s="177">
        <v>3.5999999999999997E-2</v>
      </c>
      <c r="L202" s="177">
        <v>0</v>
      </c>
      <c r="M202" s="177">
        <v>3.5999999999999997E-2</v>
      </c>
      <c r="N202" s="177">
        <v>1.5</v>
      </c>
      <c r="O202" s="177">
        <v>15.94</v>
      </c>
      <c r="P202" s="177">
        <v>55.45</v>
      </c>
      <c r="Q202" s="177">
        <v>0.94</v>
      </c>
      <c r="R202" s="177">
        <v>2E-3</v>
      </c>
      <c r="S202" s="177">
        <v>10.16</v>
      </c>
      <c r="T202" s="177">
        <v>1.03</v>
      </c>
    </row>
    <row r="203" spans="2:20" s="176" customFormat="1" ht="30" customHeight="1" x14ac:dyDescent="0.3">
      <c r="B203" s="177">
        <v>648</v>
      </c>
      <c r="C203" s="352" t="s">
        <v>294</v>
      </c>
      <c r="D203" s="352"/>
      <c r="E203" s="177">
        <v>200</v>
      </c>
      <c r="F203" s="177">
        <v>0</v>
      </c>
      <c r="G203" s="177">
        <v>0</v>
      </c>
      <c r="H203" s="177">
        <v>20</v>
      </c>
      <c r="I203" s="177">
        <v>76</v>
      </c>
      <c r="J203" s="177">
        <v>0</v>
      </c>
      <c r="K203" s="177">
        <v>0</v>
      </c>
      <c r="L203" s="177">
        <v>0</v>
      </c>
      <c r="M203" s="177">
        <v>0</v>
      </c>
      <c r="N203" s="177"/>
      <c r="O203" s="177">
        <v>0.48</v>
      </c>
      <c r="P203" s="177">
        <v>0</v>
      </c>
      <c r="Q203" s="177">
        <v>0</v>
      </c>
      <c r="R203" s="177">
        <v>0</v>
      </c>
      <c r="S203" s="177">
        <v>0</v>
      </c>
      <c r="T203" s="177">
        <v>0.06</v>
      </c>
    </row>
    <row r="204" spans="2:20" s="176" customFormat="1" ht="18" customHeight="1" x14ac:dyDescent="0.3">
      <c r="B204" s="177" t="s">
        <v>224</v>
      </c>
      <c r="C204" s="352" t="s">
        <v>235</v>
      </c>
      <c r="D204" s="352"/>
      <c r="E204" s="177">
        <v>40</v>
      </c>
      <c r="F204" s="177">
        <v>2.64</v>
      </c>
      <c r="G204" s="177">
        <v>0.48</v>
      </c>
      <c r="H204" s="177">
        <v>13.68</v>
      </c>
      <c r="I204" s="177">
        <v>69.599999999999994</v>
      </c>
      <c r="J204" s="177">
        <v>0.08</v>
      </c>
      <c r="K204" s="177">
        <v>0.04</v>
      </c>
      <c r="L204" s="177">
        <v>0</v>
      </c>
      <c r="M204" s="177">
        <v>0</v>
      </c>
      <c r="N204" s="177">
        <v>2.4</v>
      </c>
      <c r="O204" s="177">
        <v>14</v>
      </c>
      <c r="P204" s="177">
        <v>63.2</v>
      </c>
      <c r="Q204" s="177">
        <v>1.2</v>
      </c>
      <c r="R204" s="177">
        <v>1E-3</v>
      </c>
      <c r="S204" s="177">
        <v>9.4</v>
      </c>
      <c r="T204" s="177">
        <v>0.78</v>
      </c>
    </row>
    <row r="205" spans="2:20" s="176" customFormat="1" ht="18" customHeight="1" x14ac:dyDescent="0.3">
      <c r="B205" s="177" t="s">
        <v>224</v>
      </c>
      <c r="C205" s="352" t="s">
        <v>117</v>
      </c>
      <c r="D205" s="352"/>
      <c r="E205" s="177">
        <v>30</v>
      </c>
      <c r="F205" s="177">
        <v>1.52</v>
      </c>
      <c r="G205" s="177">
        <v>0.16</v>
      </c>
      <c r="H205" s="177">
        <v>9.84</v>
      </c>
      <c r="I205" s="177">
        <v>46.9</v>
      </c>
      <c r="J205" s="177">
        <v>0.02</v>
      </c>
      <c r="K205" s="177">
        <v>0.01</v>
      </c>
      <c r="L205" s="177">
        <v>0.44</v>
      </c>
      <c r="M205" s="177">
        <v>0</v>
      </c>
      <c r="N205" s="177">
        <v>0.7</v>
      </c>
      <c r="O205" s="177">
        <v>4</v>
      </c>
      <c r="P205" s="177">
        <v>13</v>
      </c>
      <c r="Q205" s="177">
        <v>8.0000000000000002E-3</v>
      </c>
      <c r="R205" s="177">
        <v>1E-3</v>
      </c>
      <c r="S205" s="177">
        <v>0</v>
      </c>
      <c r="T205" s="177">
        <v>0.22</v>
      </c>
    </row>
    <row r="206" spans="2:20" s="176" customFormat="1" ht="26.25" customHeight="1" x14ac:dyDescent="0.3">
      <c r="B206" s="350" t="s">
        <v>236</v>
      </c>
      <c r="C206" s="350"/>
      <c r="D206" s="350"/>
      <c r="E206" s="178">
        <f>SUM(E199:E205)</f>
        <v>900</v>
      </c>
      <c r="F206" s="178">
        <f>F198+F200+F201+F202+F203+F204+F205</f>
        <v>26.59</v>
      </c>
      <c r="G206" s="178">
        <f t="shared" ref="G206:T206" si="46">SUM(G199:G205)</f>
        <v>24.386000000000003</v>
      </c>
      <c r="H206" s="178">
        <f t="shared" si="46"/>
        <v>109.87</v>
      </c>
      <c r="I206" s="178">
        <f t="shared" si="46"/>
        <v>759.14400000000001</v>
      </c>
      <c r="J206" s="178">
        <f t="shared" si="46"/>
        <v>0.43800000000000006</v>
      </c>
      <c r="K206" s="178">
        <f t="shared" si="46"/>
        <v>0.32599999999999996</v>
      </c>
      <c r="L206" s="178">
        <f t="shared" si="46"/>
        <v>49.93</v>
      </c>
      <c r="M206" s="178">
        <f t="shared" si="46"/>
        <v>2.4580000000000002</v>
      </c>
      <c r="N206" s="178">
        <f t="shared" si="46"/>
        <v>9.4749999999999996</v>
      </c>
      <c r="O206" s="178">
        <f t="shared" si="46"/>
        <v>165.82999999999998</v>
      </c>
      <c r="P206" s="178">
        <f t="shared" si="46"/>
        <v>365.60999999999996</v>
      </c>
      <c r="Q206" s="178">
        <f t="shared" si="46"/>
        <v>4.2480000000000002</v>
      </c>
      <c r="R206" s="178">
        <f t="shared" si="46"/>
        <v>1.1000000000000003E-2</v>
      </c>
      <c r="S206" s="178">
        <f t="shared" si="46"/>
        <v>102.64</v>
      </c>
      <c r="T206" s="178">
        <f t="shared" si="46"/>
        <v>6.02</v>
      </c>
    </row>
    <row r="207" spans="2:20" s="176" customFormat="1" ht="18" customHeight="1" x14ac:dyDescent="0.3">
      <c r="B207" s="350" t="s">
        <v>226</v>
      </c>
      <c r="C207" s="350"/>
      <c r="D207" s="350"/>
      <c r="E207" s="350"/>
      <c r="F207" s="179">
        <f t="shared" ref="F207:T207" si="47">F206/F214</f>
        <v>0.29544444444444445</v>
      </c>
      <c r="G207" s="179">
        <f t="shared" si="47"/>
        <v>0.2650652173913044</v>
      </c>
      <c r="H207" s="179">
        <f t="shared" si="47"/>
        <v>0.28686684073107049</v>
      </c>
      <c r="I207" s="179">
        <f t="shared" si="47"/>
        <v>0.27909705882352942</v>
      </c>
      <c r="J207" s="179">
        <f t="shared" si="47"/>
        <v>0.31285714285714294</v>
      </c>
      <c r="K207" s="179">
        <f t="shared" si="47"/>
        <v>0.20374999999999996</v>
      </c>
      <c r="L207" s="179">
        <f t="shared" si="47"/>
        <v>0.7132857142857143</v>
      </c>
      <c r="M207" s="179">
        <f t="shared" si="47"/>
        <v>2.7311111111111113</v>
      </c>
      <c r="N207" s="179">
        <f t="shared" si="47"/>
        <v>0.7895833333333333</v>
      </c>
      <c r="O207" s="179">
        <f t="shared" si="47"/>
        <v>0.13819166666666666</v>
      </c>
      <c r="P207" s="179">
        <f t="shared" si="47"/>
        <v>0.30467499999999997</v>
      </c>
      <c r="Q207" s="179">
        <f t="shared" si="47"/>
        <v>0.30342857142857144</v>
      </c>
      <c r="R207" s="179">
        <f t="shared" si="47"/>
        <v>0.11000000000000003</v>
      </c>
      <c r="S207" s="179">
        <f t="shared" si="47"/>
        <v>0.34213333333333334</v>
      </c>
      <c r="T207" s="179">
        <f t="shared" si="47"/>
        <v>0.33444444444444443</v>
      </c>
    </row>
    <row r="208" spans="2:20" s="176" customFormat="1" ht="18" customHeight="1" x14ac:dyDescent="0.3">
      <c r="B208" s="355" t="s">
        <v>237</v>
      </c>
      <c r="C208" s="355"/>
      <c r="D208" s="355"/>
      <c r="E208" s="355"/>
      <c r="F208" s="355"/>
      <c r="G208" s="355"/>
      <c r="H208" s="355"/>
      <c r="I208" s="355"/>
      <c r="J208" s="355"/>
      <c r="K208" s="355"/>
      <c r="L208" s="355"/>
      <c r="M208" s="355"/>
      <c r="N208" s="355"/>
      <c r="O208" s="355"/>
      <c r="P208" s="355"/>
      <c r="Q208" s="355"/>
      <c r="R208" s="355"/>
      <c r="S208" s="355"/>
      <c r="T208" s="355"/>
    </row>
    <row r="209" spans="2:20" s="176" customFormat="1" ht="18" customHeight="1" x14ac:dyDescent="0.3">
      <c r="B209" s="177" t="s">
        <v>224</v>
      </c>
      <c r="C209" s="352" t="s">
        <v>257</v>
      </c>
      <c r="D209" s="352"/>
      <c r="E209" s="177">
        <v>80</v>
      </c>
      <c r="F209" s="177">
        <v>5.95</v>
      </c>
      <c r="G209" s="177">
        <v>6.05</v>
      </c>
      <c r="H209" s="177">
        <v>38.22</v>
      </c>
      <c r="I209" s="177">
        <v>231.11</v>
      </c>
      <c r="J209" s="177">
        <v>0.06</v>
      </c>
      <c r="K209" s="177">
        <v>0.06</v>
      </c>
      <c r="L209" s="177">
        <v>0.02</v>
      </c>
      <c r="M209" s="177">
        <v>0.06</v>
      </c>
      <c r="N209" s="177"/>
      <c r="O209" s="177">
        <v>19.489999999999998</v>
      </c>
      <c r="P209" s="177">
        <v>55.89</v>
      </c>
      <c r="Q209" s="177"/>
      <c r="R209" s="177">
        <v>0</v>
      </c>
      <c r="S209" s="177">
        <v>8.27</v>
      </c>
      <c r="T209" s="177">
        <v>0.7</v>
      </c>
    </row>
    <row r="210" spans="2:20" s="176" customFormat="1" ht="18" customHeight="1" x14ac:dyDescent="0.3">
      <c r="B210" s="173">
        <v>376</v>
      </c>
      <c r="C210" s="359" t="s">
        <v>141</v>
      </c>
      <c r="D210" s="359"/>
      <c r="E210" s="173">
        <v>200</v>
      </c>
      <c r="F210" s="173">
        <v>0.2</v>
      </c>
      <c r="G210" s="173">
        <v>0.05</v>
      </c>
      <c r="H210" s="173">
        <v>15.01</v>
      </c>
      <c r="I210" s="173">
        <v>61</v>
      </c>
      <c r="J210" s="173">
        <v>0</v>
      </c>
      <c r="K210" s="173">
        <v>0.01</v>
      </c>
      <c r="L210" s="173">
        <v>9</v>
      </c>
      <c r="M210" s="173">
        <v>1E-4</v>
      </c>
      <c r="N210" s="173">
        <v>4.4999999999999998E-2</v>
      </c>
      <c r="O210" s="173">
        <v>5.25</v>
      </c>
      <c r="P210" s="173">
        <v>8.24</v>
      </c>
      <c r="Q210" s="173">
        <v>8.0000000000000002E-3</v>
      </c>
      <c r="R210" s="173">
        <v>0</v>
      </c>
      <c r="S210" s="173">
        <v>4.4000000000000004</v>
      </c>
      <c r="T210" s="173">
        <v>0.87</v>
      </c>
    </row>
    <row r="211" spans="2:20" s="176" customFormat="1" ht="18" customHeight="1" x14ac:dyDescent="0.3">
      <c r="B211" s="356" t="s">
        <v>240</v>
      </c>
      <c r="C211" s="357"/>
      <c r="D211" s="358"/>
      <c r="E211" s="178">
        <f>SUM(E209:E210)</f>
        <v>280</v>
      </c>
      <c r="F211" s="178">
        <f t="shared" ref="F211:T211" si="48">SUM(F209:F210)</f>
        <v>6.15</v>
      </c>
      <c r="G211" s="178">
        <f t="shared" si="48"/>
        <v>6.1</v>
      </c>
      <c r="H211" s="178">
        <f t="shared" si="48"/>
        <v>53.23</v>
      </c>
      <c r="I211" s="178">
        <f t="shared" si="48"/>
        <v>292.11</v>
      </c>
      <c r="J211" s="178">
        <f t="shared" si="48"/>
        <v>0.06</v>
      </c>
      <c r="K211" s="178">
        <f t="shared" si="48"/>
        <v>6.9999999999999993E-2</v>
      </c>
      <c r="L211" s="178">
        <f t="shared" si="48"/>
        <v>9.02</v>
      </c>
      <c r="M211" s="178">
        <f t="shared" si="48"/>
        <v>6.0100000000000001E-2</v>
      </c>
      <c r="N211" s="178">
        <f t="shared" si="48"/>
        <v>4.4999999999999998E-2</v>
      </c>
      <c r="O211" s="178">
        <f t="shared" si="48"/>
        <v>24.74</v>
      </c>
      <c r="P211" s="178">
        <f t="shared" si="48"/>
        <v>64.13</v>
      </c>
      <c r="Q211" s="178">
        <f t="shared" si="48"/>
        <v>8.0000000000000002E-3</v>
      </c>
      <c r="R211" s="178">
        <f t="shared" si="48"/>
        <v>0</v>
      </c>
      <c r="S211" s="178">
        <f t="shared" si="48"/>
        <v>12.67</v>
      </c>
      <c r="T211" s="178">
        <f t="shared" si="48"/>
        <v>1.5699999999999998</v>
      </c>
    </row>
    <row r="212" spans="2:20" s="176" customFormat="1" ht="18" customHeight="1" x14ac:dyDescent="0.3">
      <c r="B212" s="350" t="s">
        <v>226</v>
      </c>
      <c r="C212" s="350"/>
      <c r="D212" s="350"/>
      <c r="E212" s="350"/>
      <c r="F212" s="179">
        <f>F211/F214</f>
        <v>6.8333333333333343E-2</v>
      </c>
      <c r="G212" s="179">
        <f t="shared" ref="G212:T212" si="49">G211/G214</f>
        <v>6.6304347826086948E-2</v>
      </c>
      <c r="H212" s="179">
        <f t="shared" si="49"/>
        <v>0.13898172323759792</v>
      </c>
      <c r="I212" s="179">
        <f t="shared" si="49"/>
        <v>0.10739338235294119</v>
      </c>
      <c r="J212" s="179">
        <f t="shared" si="49"/>
        <v>4.2857142857142858E-2</v>
      </c>
      <c r="K212" s="179">
        <f t="shared" si="49"/>
        <v>4.374999999999999E-2</v>
      </c>
      <c r="L212" s="179">
        <f t="shared" si="49"/>
        <v>0.12885714285714286</v>
      </c>
      <c r="M212" s="179">
        <f t="shared" si="49"/>
        <v>6.6777777777777783E-2</v>
      </c>
      <c r="N212" s="179">
        <f t="shared" si="49"/>
        <v>3.7499999999999999E-3</v>
      </c>
      <c r="O212" s="179">
        <f t="shared" si="49"/>
        <v>2.0616666666666665E-2</v>
      </c>
      <c r="P212" s="179">
        <f t="shared" si="49"/>
        <v>5.3441666666666665E-2</v>
      </c>
      <c r="Q212" s="179">
        <f t="shared" si="49"/>
        <v>5.7142857142857147E-4</v>
      </c>
      <c r="R212" s="179">
        <f t="shared" si="49"/>
        <v>0</v>
      </c>
      <c r="S212" s="179">
        <f t="shared" si="49"/>
        <v>4.2233333333333331E-2</v>
      </c>
      <c r="T212" s="179">
        <f t="shared" si="49"/>
        <v>8.7222222222222215E-2</v>
      </c>
    </row>
    <row r="213" spans="2:20" s="176" customFormat="1" ht="18" customHeight="1" x14ac:dyDescent="0.3">
      <c r="B213" s="350" t="s">
        <v>241</v>
      </c>
      <c r="C213" s="350"/>
      <c r="D213" s="350"/>
      <c r="E213" s="350"/>
      <c r="F213" s="178">
        <f>F195+F206+F211</f>
        <v>51.050000000000004</v>
      </c>
      <c r="G213" s="178">
        <f t="shared" ref="G213:T213" si="50">G195+G206+G211</f>
        <v>53.716000000000001</v>
      </c>
      <c r="H213" s="178">
        <f t="shared" si="50"/>
        <v>263.91000000000003</v>
      </c>
      <c r="I213" s="178">
        <f t="shared" si="50"/>
        <v>1736.7939999999999</v>
      </c>
      <c r="J213" s="178">
        <f t="shared" si="50"/>
        <v>0.81800000000000006</v>
      </c>
      <c r="K213" s="178">
        <f t="shared" si="50"/>
        <v>0.84899999999999998</v>
      </c>
      <c r="L213" s="178">
        <f t="shared" si="50"/>
        <v>123.89</v>
      </c>
      <c r="M213" s="178">
        <f t="shared" si="50"/>
        <v>2.6411000000000002</v>
      </c>
      <c r="N213" s="178">
        <f t="shared" si="50"/>
        <v>12.11</v>
      </c>
      <c r="O213" s="178">
        <f t="shared" si="50"/>
        <v>682.56999999999994</v>
      </c>
      <c r="P213" s="178">
        <f t="shared" si="50"/>
        <v>904.54</v>
      </c>
      <c r="Q213" s="178">
        <f t="shared" si="50"/>
        <v>6.3690000000000007</v>
      </c>
      <c r="R213" s="178">
        <f t="shared" si="50"/>
        <v>7.400000000000001E-2</v>
      </c>
      <c r="S213" s="178">
        <f t="shared" si="50"/>
        <v>227.91</v>
      </c>
      <c r="T213" s="178">
        <f t="shared" si="50"/>
        <v>11.17</v>
      </c>
    </row>
    <row r="214" spans="2:20" s="176" customFormat="1" ht="18" customHeight="1" x14ac:dyDescent="0.3">
      <c r="B214" s="350" t="s">
        <v>242</v>
      </c>
      <c r="C214" s="350"/>
      <c r="D214" s="350"/>
      <c r="E214" s="350"/>
      <c r="F214" s="177">
        <v>90</v>
      </c>
      <c r="G214" s="177">
        <v>92</v>
      </c>
      <c r="H214" s="177">
        <v>383</v>
      </c>
      <c r="I214" s="177">
        <v>2720</v>
      </c>
      <c r="J214" s="177">
        <v>1.4</v>
      </c>
      <c r="K214" s="177">
        <v>1.6</v>
      </c>
      <c r="L214" s="177">
        <v>70</v>
      </c>
      <c r="M214" s="177">
        <v>0.9</v>
      </c>
      <c r="N214" s="177">
        <v>12</v>
      </c>
      <c r="O214" s="177">
        <v>1200</v>
      </c>
      <c r="P214" s="177">
        <v>1200</v>
      </c>
      <c r="Q214" s="177">
        <v>14</v>
      </c>
      <c r="R214" s="177">
        <v>0.1</v>
      </c>
      <c r="S214" s="177">
        <v>300</v>
      </c>
      <c r="T214" s="177">
        <v>18</v>
      </c>
    </row>
    <row r="215" spans="2:20" s="176" customFormat="1" ht="18" customHeight="1" x14ac:dyDescent="0.3">
      <c r="B215" s="350" t="s">
        <v>226</v>
      </c>
      <c r="C215" s="350"/>
      <c r="D215" s="350"/>
      <c r="E215" s="350"/>
      <c r="F215" s="179">
        <f>F213/F214</f>
        <v>0.56722222222222229</v>
      </c>
      <c r="G215" s="179">
        <f t="shared" ref="G215:T215" si="51">G213/G214</f>
        <v>0.58386956521739131</v>
      </c>
      <c r="H215" s="179">
        <f t="shared" si="51"/>
        <v>0.68906005221932121</v>
      </c>
      <c r="I215" s="179">
        <f t="shared" si="51"/>
        <v>0.6385272058823529</v>
      </c>
      <c r="J215" s="179">
        <f t="shared" si="51"/>
        <v>0.58428571428571441</v>
      </c>
      <c r="K215" s="179">
        <f t="shared" si="51"/>
        <v>0.5306249999999999</v>
      </c>
      <c r="L215" s="179">
        <f t="shared" si="51"/>
        <v>1.7698571428571428</v>
      </c>
      <c r="M215" s="179">
        <f t="shared" si="51"/>
        <v>2.9345555555555558</v>
      </c>
      <c r="N215" s="179">
        <f t="shared" si="51"/>
        <v>1.0091666666666665</v>
      </c>
      <c r="O215" s="179">
        <f t="shared" si="51"/>
        <v>0.56880833333333325</v>
      </c>
      <c r="P215" s="179">
        <f t="shared" si="51"/>
        <v>0.75378333333333325</v>
      </c>
      <c r="Q215" s="179">
        <f t="shared" si="51"/>
        <v>0.45492857142857146</v>
      </c>
      <c r="R215" s="179">
        <f t="shared" si="51"/>
        <v>0.7400000000000001</v>
      </c>
      <c r="S215" s="179">
        <f t="shared" si="51"/>
        <v>0.75970000000000004</v>
      </c>
      <c r="T215" s="179">
        <f t="shared" si="51"/>
        <v>0.62055555555555553</v>
      </c>
    </row>
    <row r="216" spans="2:20" s="176" customFormat="1" ht="18" customHeight="1" x14ac:dyDescent="0.3">
      <c r="B216" s="253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372" t="s">
        <v>187</v>
      </c>
      <c r="N216" s="372"/>
      <c r="O216" s="372"/>
      <c r="P216" s="372"/>
      <c r="Q216" s="372"/>
      <c r="R216" s="372"/>
      <c r="S216" s="372"/>
      <c r="T216" s="372"/>
    </row>
    <row r="217" spans="2:20" s="176" customFormat="1" ht="18" customHeight="1" x14ac:dyDescent="0.3">
      <c r="B217" s="355" t="s">
        <v>305</v>
      </c>
      <c r="C217" s="355"/>
      <c r="D217" s="355"/>
      <c r="E217" s="355"/>
      <c r="F217" s="355"/>
      <c r="G217" s="355"/>
      <c r="H217" s="355"/>
      <c r="I217" s="355"/>
      <c r="J217" s="355"/>
      <c r="K217" s="355"/>
      <c r="L217" s="355"/>
      <c r="M217" s="355"/>
      <c r="N217" s="355"/>
      <c r="O217" s="355"/>
      <c r="P217" s="355"/>
      <c r="Q217" s="355"/>
      <c r="R217" s="355"/>
      <c r="S217" s="355"/>
      <c r="T217" s="355"/>
    </row>
    <row r="218" spans="2:20" s="176" customFormat="1" ht="18" customHeight="1" x14ac:dyDescent="0.3">
      <c r="B218" s="350" t="s">
        <v>189</v>
      </c>
      <c r="C218" s="350"/>
      <c r="D218" s="177"/>
      <c r="E218" s="177"/>
      <c r="F218" s="177"/>
      <c r="G218" s="372" t="s">
        <v>244</v>
      </c>
      <c r="H218" s="372"/>
      <c r="I218" s="372"/>
      <c r="J218" s="177"/>
      <c r="K218" s="177"/>
      <c r="L218" s="350" t="s">
        <v>191</v>
      </c>
      <c r="M218" s="350"/>
      <c r="N218" s="372" t="s">
        <v>192</v>
      </c>
      <c r="O218" s="372"/>
      <c r="P218" s="372"/>
      <c r="Q218" s="372"/>
      <c r="R218" s="177"/>
      <c r="S218" s="177"/>
      <c r="T218" s="177"/>
    </row>
    <row r="219" spans="2:20" s="176" customFormat="1" ht="18" customHeight="1" x14ac:dyDescent="0.3">
      <c r="B219" s="177"/>
      <c r="C219" s="177"/>
      <c r="D219" s="177"/>
      <c r="E219" s="355" t="s">
        <v>194</v>
      </c>
      <c r="F219" s="355"/>
      <c r="G219" s="177">
        <v>2</v>
      </c>
      <c r="H219" s="177"/>
      <c r="I219" s="177"/>
      <c r="J219" s="177"/>
      <c r="K219" s="177"/>
      <c r="L219" s="350" t="s">
        <v>195</v>
      </c>
      <c r="M219" s="350"/>
      <c r="N219" s="372" t="s">
        <v>347</v>
      </c>
      <c r="O219" s="372"/>
      <c r="P219" s="372"/>
      <c r="Q219" s="372"/>
      <c r="R219" s="372"/>
      <c r="S219" s="372"/>
      <c r="T219" s="372"/>
    </row>
    <row r="220" spans="2:20" s="176" customFormat="1" ht="18" customHeight="1" x14ac:dyDescent="0.3">
      <c r="B220" s="255" t="s">
        <v>0</v>
      </c>
      <c r="C220" s="378" t="s">
        <v>198</v>
      </c>
      <c r="D220" s="378"/>
      <c r="E220" s="378" t="s">
        <v>199</v>
      </c>
      <c r="F220" s="378" t="s">
        <v>200</v>
      </c>
      <c r="G220" s="378"/>
      <c r="H220" s="378"/>
      <c r="I220" s="255" t="s">
        <v>201</v>
      </c>
      <c r="J220" s="378" t="s">
        <v>202</v>
      </c>
      <c r="K220" s="378"/>
      <c r="L220" s="378"/>
      <c r="M220" s="378"/>
      <c r="N220" s="378"/>
      <c r="O220" s="378" t="s">
        <v>203</v>
      </c>
      <c r="P220" s="378"/>
      <c r="Q220" s="378"/>
      <c r="R220" s="378"/>
      <c r="S220" s="378"/>
      <c r="T220" s="378"/>
    </row>
    <row r="221" spans="2:20" s="176" customFormat="1" ht="18" customHeight="1" x14ac:dyDescent="0.3">
      <c r="B221" s="255" t="s">
        <v>245</v>
      </c>
      <c r="C221" s="378"/>
      <c r="D221" s="378"/>
      <c r="E221" s="378"/>
      <c r="F221" s="255" t="s">
        <v>204</v>
      </c>
      <c r="G221" s="255" t="s">
        <v>205</v>
      </c>
      <c r="H221" s="255" t="s">
        <v>206</v>
      </c>
      <c r="I221" s="255" t="s">
        <v>207</v>
      </c>
      <c r="J221" s="255" t="s">
        <v>208</v>
      </c>
      <c r="K221" s="255" t="s">
        <v>209</v>
      </c>
      <c r="L221" s="255" t="s">
        <v>210</v>
      </c>
      <c r="M221" s="255" t="s">
        <v>211</v>
      </c>
      <c r="N221" s="255" t="s">
        <v>212</v>
      </c>
      <c r="O221" s="255" t="s">
        <v>213</v>
      </c>
      <c r="P221" s="255" t="s">
        <v>214</v>
      </c>
      <c r="Q221" s="255" t="s">
        <v>215</v>
      </c>
      <c r="R221" s="255" t="s">
        <v>216</v>
      </c>
      <c r="S221" s="255" t="s">
        <v>217</v>
      </c>
      <c r="T221" s="255" t="s">
        <v>218</v>
      </c>
    </row>
    <row r="222" spans="2:20" s="176" customFormat="1" ht="18" customHeight="1" x14ac:dyDescent="0.3">
      <c r="B222" s="183">
        <v>1</v>
      </c>
      <c r="C222" s="373">
        <v>2</v>
      </c>
      <c r="D222" s="373"/>
      <c r="E222" s="183">
        <v>3</v>
      </c>
      <c r="F222" s="183">
        <v>4</v>
      </c>
      <c r="G222" s="183">
        <v>5</v>
      </c>
      <c r="H222" s="183">
        <v>6</v>
      </c>
      <c r="I222" s="183">
        <v>7</v>
      </c>
      <c r="J222" s="183">
        <v>8</v>
      </c>
      <c r="K222" s="183">
        <v>9</v>
      </c>
      <c r="L222" s="183">
        <v>10</v>
      </c>
      <c r="M222" s="183">
        <v>11</v>
      </c>
      <c r="N222" s="183">
        <v>12</v>
      </c>
      <c r="O222" s="183">
        <v>13</v>
      </c>
      <c r="P222" s="183">
        <v>14</v>
      </c>
      <c r="Q222" s="183">
        <v>15</v>
      </c>
      <c r="R222" s="183">
        <v>16</v>
      </c>
      <c r="S222" s="183">
        <v>17</v>
      </c>
      <c r="T222" s="183">
        <v>18</v>
      </c>
    </row>
    <row r="223" spans="2:20" s="176" customFormat="1" ht="18" customHeight="1" x14ac:dyDescent="0.3">
      <c r="B223" s="355" t="s">
        <v>246</v>
      </c>
      <c r="C223" s="355"/>
      <c r="D223" s="355"/>
      <c r="E223" s="355"/>
      <c r="F223" s="355"/>
      <c r="G223" s="355"/>
      <c r="H223" s="355"/>
      <c r="I223" s="355"/>
      <c r="J223" s="355"/>
      <c r="K223" s="355"/>
      <c r="L223" s="355"/>
      <c r="M223" s="355"/>
      <c r="N223" s="355"/>
      <c r="O223" s="355"/>
      <c r="P223" s="355"/>
      <c r="Q223" s="355"/>
      <c r="R223" s="355"/>
      <c r="S223" s="355"/>
      <c r="T223" s="355"/>
    </row>
    <row r="224" spans="2:20" s="176" customFormat="1" ht="18" customHeight="1" x14ac:dyDescent="0.3">
      <c r="B224" s="177" t="s">
        <v>344</v>
      </c>
      <c r="C224" s="367" t="s">
        <v>220</v>
      </c>
      <c r="D224" s="367"/>
      <c r="E224" s="177">
        <v>100</v>
      </c>
      <c r="F224" s="177">
        <v>0.4</v>
      </c>
      <c r="G224" s="177">
        <v>0.4</v>
      </c>
      <c r="H224" s="177">
        <v>9.8000000000000007</v>
      </c>
      <c r="I224" s="177">
        <v>42</v>
      </c>
      <c r="J224" s="177">
        <v>0.04</v>
      </c>
      <c r="K224" s="177">
        <v>0.02</v>
      </c>
      <c r="L224" s="177">
        <v>10</v>
      </c>
      <c r="M224" s="177">
        <v>0</v>
      </c>
      <c r="N224" s="177">
        <v>0.2</v>
      </c>
      <c r="O224" s="177">
        <v>16</v>
      </c>
      <c r="P224" s="177">
        <v>11</v>
      </c>
      <c r="Q224" s="177">
        <v>0</v>
      </c>
      <c r="R224" s="177">
        <v>0</v>
      </c>
      <c r="S224" s="177">
        <v>9</v>
      </c>
      <c r="T224" s="177">
        <v>2.2000000000000002</v>
      </c>
    </row>
    <row r="225" spans="2:20" s="176" customFormat="1" ht="25.5" customHeight="1" x14ac:dyDescent="0.3">
      <c r="B225" s="184">
        <v>71</v>
      </c>
      <c r="C225" s="352" t="s">
        <v>247</v>
      </c>
      <c r="D225" s="352"/>
      <c r="E225" s="184">
        <v>40</v>
      </c>
      <c r="F225" s="184">
        <v>0.33</v>
      </c>
      <c r="G225" s="184">
        <v>0.04</v>
      </c>
      <c r="H225" s="184">
        <v>1.1299999999999999</v>
      </c>
      <c r="I225" s="184">
        <v>6.23</v>
      </c>
      <c r="J225" s="184">
        <v>8.9999999999999993E-3</v>
      </c>
      <c r="K225" s="184">
        <v>0.01</v>
      </c>
      <c r="L225" s="184">
        <v>3</v>
      </c>
      <c r="M225" s="184">
        <v>3.0000000000000001E-3</v>
      </c>
      <c r="N225" s="184">
        <v>0.03</v>
      </c>
      <c r="O225" s="184">
        <v>6.9</v>
      </c>
      <c r="P225" s="184">
        <v>12.6</v>
      </c>
      <c r="Q225" s="184">
        <v>6.4000000000000001E-2</v>
      </c>
      <c r="R225" s="184">
        <v>1E-3</v>
      </c>
      <c r="S225" s="184">
        <v>4.2</v>
      </c>
      <c r="T225" s="184">
        <v>0.18</v>
      </c>
    </row>
    <row r="226" spans="2:20" s="176" customFormat="1" ht="30" customHeight="1" x14ac:dyDescent="0.3">
      <c r="B226" s="177">
        <v>392</v>
      </c>
      <c r="C226" s="359" t="s">
        <v>177</v>
      </c>
      <c r="D226" s="359"/>
      <c r="E226" s="177">
        <v>100</v>
      </c>
      <c r="F226" s="177">
        <v>12.1</v>
      </c>
      <c r="G226" s="177">
        <v>12.73</v>
      </c>
      <c r="H226" s="177">
        <v>11.38</v>
      </c>
      <c r="I226" s="177">
        <v>208.53</v>
      </c>
      <c r="J226" s="177">
        <v>8.7999999999999995E-2</v>
      </c>
      <c r="K226" s="177">
        <v>0.15</v>
      </c>
      <c r="L226" s="177">
        <v>0.79</v>
      </c>
      <c r="M226" s="177">
        <v>2.5000000000000001E-2</v>
      </c>
      <c r="N226" s="177">
        <v>2.5000000000000001E-2</v>
      </c>
      <c r="O226" s="177">
        <v>35.54</v>
      </c>
      <c r="P226" s="177">
        <v>139.13</v>
      </c>
      <c r="Q226" s="177">
        <v>1.81</v>
      </c>
      <c r="R226" s="177">
        <v>0.1</v>
      </c>
      <c r="S226" s="177">
        <v>18.96</v>
      </c>
      <c r="T226" s="177">
        <v>1.78</v>
      </c>
    </row>
    <row r="227" spans="2:20" s="176" customFormat="1" ht="18" customHeight="1" x14ac:dyDescent="0.3">
      <c r="B227" s="177">
        <v>175</v>
      </c>
      <c r="C227" s="352" t="s">
        <v>179</v>
      </c>
      <c r="D227" s="352"/>
      <c r="E227" s="177">
        <v>180</v>
      </c>
      <c r="F227" s="177">
        <v>4.0999999999999996</v>
      </c>
      <c r="G227" s="177">
        <v>5.9</v>
      </c>
      <c r="H227" s="177">
        <v>30.2</v>
      </c>
      <c r="I227" s="177">
        <v>190.9</v>
      </c>
      <c r="J227" s="177">
        <v>0.17</v>
      </c>
      <c r="K227" s="177">
        <v>0.12</v>
      </c>
      <c r="L227" s="177">
        <v>4</v>
      </c>
      <c r="M227" s="177">
        <v>4.3999999999999997E-2</v>
      </c>
      <c r="N227" s="177">
        <v>0</v>
      </c>
      <c r="O227" s="177">
        <v>152.9</v>
      </c>
      <c r="P227" s="177">
        <v>220.2</v>
      </c>
      <c r="Q227" s="177">
        <v>0</v>
      </c>
      <c r="R227" s="177">
        <v>0</v>
      </c>
      <c r="S227" s="177">
        <v>66.099999999999994</v>
      </c>
      <c r="T227" s="177">
        <v>0.36</v>
      </c>
    </row>
    <row r="228" spans="2:20" s="176" customFormat="1" ht="18" customHeight="1" x14ac:dyDescent="0.3">
      <c r="B228" s="177">
        <v>376</v>
      </c>
      <c r="C228" s="352" t="s">
        <v>141</v>
      </c>
      <c r="D228" s="352"/>
      <c r="E228" s="177">
        <v>200</v>
      </c>
      <c r="F228" s="177">
        <v>0.2</v>
      </c>
      <c r="G228" s="177">
        <v>0.05</v>
      </c>
      <c r="H228" s="177">
        <v>15.01</v>
      </c>
      <c r="I228" s="177">
        <v>61</v>
      </c>
      <c r="J228" s="177">
        <v>0</v>
      </c>
      <c r="K228" s="177">
        <v>0.01</v>
      </c>
      <c r="L228" s="177">
        <v>9</v>
      </c>
      <c r="M228" s="177">
        <v>1E-4</v>
      </c>
      <c r="N228" s="177">
        <v>4.4999999999999998E-2</v>
      </c>
      <c r="O228" s="177">
        <v>5.25</v>
      </c>
      <c r="P228" s="177">
        <v>8.24</v>
      </c>
      <c r="Q228" s="177">
        <v>8.0000000000000002E-3</v>
      </c>
      <c r="R228" s="177">
        <v>0</v>
      </c>
      <c r="S228" s="177">
        <v>4.4000000000000004</v>
      </c>
      <c r="T228" s="177">
        <v>0.87</v>
      </c>
    </row>
    <row r="229" spans="2:20" s="176" customFormat="1" ht="18" customHeight="1" x14ac:dyDescent="0.3">
      <c r="B229" s="177" t="s">
        <v>224</v>
      </c>
      <c r="C229" s="352" t="s">
        <v>161</v>
      </c>
      <c r="D229" s="352"/>
      <c r="E229" s="177">
        <v>40</v>
      </c>
      <c r="F229" s="177">
        <v>3.04</v>
      </c>
      <c r="G229" s="177">
        <v>0.32</v>
      </c>
      <c r="H229" s="177">
        <v>19.68</v>
      </c>
      <c r="I229" s="177">
        <v>93.8</v>
      </c>
      <c r="J229" s="177">
        <v>0.04</v>
      </c>
      <c r="K229" s="177">
        <v>0.01</v>
      </c>
      <c r="L229" s="177">
        <v>0.88</v>
      </c>
      <c r="M229" s="177">
        <v>0</v>
      </c>
      <c r="N229" s="177">
        <v>0.7</v>
      </c>
      <c r="O229" s="177">
        <v>8</v>
      </c>
      <c r="P229" s="177">
        <v>26</v>
      </c>
      <c r="Q229" s="177">
        <v>8.0000000000000002E-3</v>
      </c>
      <c r="R229" s="177">
        <v>3.0000000000000001E-3</v>
      </c>
      <c r="S229" s="177">
        <v>0</v>
      </c>
      <c r="T229" s="177">
        <v>0.44</v>
      </c>
    </row>
    <row r="230" spans="2:20" s="176" customFormat="1" ht="18" customHeight="1" x14ac:dyDescent="0.3">
      <c r="B230" s="356" t="s">
        <v>251</v>
      </c>
      <c r="C230" s="357"/>
      <c r="D230" s="358"/>
      <c r="E230" s="178">
        <f>SUM(E225:E229)</f>
        <v>560</v>
      </c>
      <c r="F230" s="178">
        <f t="shared" ref="F230:T230" si="52">SUM(F225:F229)</f>
        <v>19.77</v>
      </c>
      <c r="G230" s="178">
        <f t="shared" si="52"/>
        <v>19.040000000000003</v>
      </c>
      <c r="H230" s="178">
        <f t="shared" si="52"/>
        <v>77.400000000000006</v>
      </c>
      <c r="I230" s="178">
        <f t="shared" si="52"/>
        <v>560.45999999999992</v>
      </c>
      <c r="J230" s="178">
        <f t="shared" si="52"/>
        <v>0.307</v>
      </c>
      <c r="K230" s="178">
        <f t="shared" si="52"/>
        <v>0.30000000000000004</v>
      </c>
      <c r="L230" s="178">
        <f t="shared" si="52"/>
        <v>17.669999999999998</v>
      </c>
      <c r="M230" s="178">
        <f t="shared" si="52"/>
        <v>7.2099999999999997E-2</v>
      </c>
      <c r="N230" s="178">
        <f t="shared" si="52"/>
        <v>0.79999999999999993</v>
      </c>
      <c r="O230" s="178">
        <f t="shared" si="52"/>
        <v>208.59</v>
      </c>
      <c r="P230" s="178">
        <f t="shared" si="52"/>
        <v>406.16999999999996</v>
      </c>
      <c r="Q230" s="178">
        <f t="shared" si="52"/>
        <v>1.8900000000000001</v>
      </c>
      <c r="R230" s="178">
        <f t="shared" si="52"/>
        <v>0.10400000000000001</v>
      </c>
      <c r="S230" s="178">
        <f t="shared" si="52"/>
        <v>93.66</v>
      </c>
      <c r="T230" s="178">
        <f t="shared" si="52"/>
        <v>3.63</v>
      </c>
    </row>
    <row r="231" spans="2:20" s="176" customFormat="1" ht="18" customHeight="1" x14ac:dyDescent="0.3">
      <c r="B231" s="350" t="s">
        <v>226</v>
      </c>
      <c r="C231" s="350"/>
      <c r="D231" s="350"/>
      <c r="E231" s="350"/>
      <c r="F231" s="179">
        <f t="shared" ref="F231:T231" si="53">F230/F248</f>
        <v>0.21966666666666665</v>
      </c>
      <c r="G231" s="179">
        <f t="shared" si="53"/>
        <v>0.20695652173913046</v>
      </c>
      <c r="H231" s="179">
        <f t="shared" si="53"/>
        <v>0.20208877284595303</v>
      </c>
      <c r="I231" s="179">
        <f t="shared" si="53"/>
        <v>0.20605147058823525</v>
      </c>
      <c r="J231" s="179">
        <f t="shared" si="53"/>
        <v>0.21928571428571431</v>
      </c>
      <c r="K231" s="179">
        <f t="shared" si="53"/>
        <v>0.18750000000000003</v>
      </c>
      <c r="L231" s="179">
        <f t="shared" si="53"/>
        <v>0.25242857142857139</v>
      </c>
      <c r="M231" s="179">
        <f t="shared" si="53"/>
        <v>8.0111111111111105E-2</v>
      </c>
      <c r="N231" s="179">
        <f t="shared" si="53"/>
        <v>6.6666666666666666E-2</v>
      </c>
      <c r="O231" s="179">
        <f t="shared" si="53"/>
        <v>0.17382500000000001</v>
      </c>
      <c r="P231" s="179">
        <f t="shared" si="53"/>
        <v>0.33847499999999997</v>
      </c>
      <c r="Q231" s="179">
        <f t="shared" si="53"/>
        <v>0.13500000000000001</v>
      </c>
      <c r="R231" s="179">
        <f t="shared" si="53"/>
        <v>1.04</v>
      </c>
      <c r="S231" s="179">
        <f t="shared" si="53"/>
        <v>0.31219999999999998</v>
      </c>
      <c r="T231" s="179">
        <f t="shared" si="53"/>
        <v>0.20166666666666666</v>
      </c>
    </row>
    <row r="232" spans="2:20" s="176" customFormat="1" ht="18" customHeight="1" x14ac:dyDescent="0.3">
      <c r="B232" s="355" t="s">
        <v>227</v>
      </c>
      <c r="C232" s="355"/>
      <c r="D232" s="355"/>
      <c r="E232" s="355"/>
      <c r="F232" s="355"/>
      <c r="G232" s="355"/>
      <c r="H232" s="355"/>
      <c r="I232" s="355"/>
      <c r="J232" s="355"/>
      <c r="K232" s="355"/>
      <c r="L232" s="355"/>
      <c r="M232" s="355"/>
      <c r="N232" s="355"/>
      <c r="O232" s="355"/>
      <c r="P232" s="355"/>
      <c r="Q232" s="355"/>
      <c r="R232" s="355"/>
      <c r="S232" s="355"/>
      <c r="T232" s="355"/>
    </row>
    <row r="233" spans="2:20" s="176" customFormat="1" ht="18" customHeight="1" x14ac:dyDescent="0.3">
      <c r="B233" s="177">
        <v>45</v>
      </c>
      <c r="C233" s="352" t="s">
        <v>306</v>
      </c>
      <c r="D233" s="352"/>
      <c r="E233" s="177">
        <v>100</v>
      </c>
      <c r="F233" s="177">
        <v>1.35</v>
      </c>
      <c r="G233" s="177">
        <v>6.16</v>
      </c>
      <c r="H233" s="177">
        <v>7.69</v>
      </c>
      <c r="I233" s="177">
        <v>91.6</v>
      </c>
      <c r="J233" s="177">
        <v>0.05</v>
      </c>
      <c r="K233" s="177">
        <v>0.06</v>
      </c>
      <c r="L233" s="177">
        <v>13.25</v>
      </c>
      <c r="M233" s="177">
        <v>0.05</v>
      </c>
      <c r="N233" s="177"/>
      <c r="O233" s="177">
        <v>33.549999999999997</v>
      </c>
      <c r="P233" s="177">
        <v>40.17</v>
      </c>
      <c r="Q233" s="177"/>
      <c r="R233" s="177">
        <v>0</v>
      </c>
      <c r="S233" s="177">
        <v>21.35</v>
      </c>
      <c r="T233" s="177">
        <v>0.88</v>
      </c>
    </row>
    <row r="234" spans="2:20" s="176" customFormat="1" ht="30" customHeight="1" x14ac:dyDescent="0.3">
      <c r="B234" s="177">
        <v>113</v>
      </c>
      <c r="C234" s="352" t="s">
        <v>352</v>
      </c>
      <c r="D234" s="352"/>
      <c r="E234" s="177" t="s">
        <v>353</v>
      </c>
      <c r="F234" s="177">
        <v>8.7100000000000009</v>
      </c>
      <c r="G234" s="177">
        <v>8.77</v>
      </c>
      <c r="H234" s="177">
        <v>23.67</v>
      </c>
      <c r="I234" s="177">
        <v>208.5</v>
      </c>
      <c r="J234" s="177">
        <v>0.23</v>
      </c>
      <c r="K234" s="177">
        <v>0.21</v>
      </c>
      <c r="L234" s="177">
        <v>5.3019999999999996</v>
      </c>
      <c r="M234" s="177">
        <v>1.04</v>
      </c>
      <c r="N234" s="177">
        <v>0.379</v>
      </c>
      <c r="O234" s="177">
        <v>43.8</v>
      </c>
      <c r="P234" s="177">
        <v>95.75</v>
      </c>
      <c r="Q234" s="177">
        <v>0.13</v>
      </c>
      <c r="R234" s="177">
        <v>1E-3</v>
      </c>
      <c r="S234" s="177">
        <v>18.3</v>
      </c>
      <c r="T234" s="177">
        <v>1.25</v>
      </c>
    </row>
    <row r="235" spans="2:20" s="176" customFormat="1" ht="18" customHeight="1" x14ac:dyDescent="0.3">
      <c r="B235" s="177">
        <v>293</v>
      </c>
      <c r="C235" s="352" t="s">
        <v>309</v>
      </c>
      <c r="D235" s="352"/>
      <c r="E235" s="177">
        <v>100</v>
      </c>
      <c r="F235" s="177">
        <v>21.1</v>
      </c>
      <c r="G235" s="177">
        <v>12.08</v>
      </c>
      <c r="H235" s="177">
        <v>0.19</v>
      </c>
      <c r="I235" s="177">
        <v>193.93</v>
      </c>
      <c r="J235" s="177">
        <v>0.1</v>
      </c>
      <c r="K235" s="177">
        <v>0.17</v>
      </c>
      <c r="L235" s="177">
        <v>0.03</v>
      </c>
      <c r="M235" s="177">
        <v>0</v>
      </c>
      <c r="N235" s="177">
        <v>0</v>
      </c>
      <c r="O235" s="177">
        <v>21.6</v>
      </c>
      <c r="P235" s="177">
        <v>1.78</v>
      </c>
      <c r="Q235" s="177">
        <v>0</v>
      </c>
      <c r="R235" s="177">
        <v>0</v>
      </c>
      <c r="S235" s="177">
        <v>18.98</v>
      </c>
      <c r="T235" s="177">
        <v>2.06</v>
      </c>
    </row>
    <row r="236" spans="2:20" s="176" customFormat="1" ht="18" customHeight="1" x14ac:dyDescent="0.3">
      <c r="B236" s="177">
        <v>139</v>
      </c>
      <c r="C236" s="352" t="s">
        <v>310</v>
      </c>
      <c r="D236" s="352"/>
      <c r="E236" s="177">
        <v>180</v>
      </c>
      <c r="F236" s="177">
        <v>3.32</v>
      </c>
      <c r="G236" s="177">
        <v>5.81</v>
      </c>
      <c r="H236" s="177">
        <v>12.94</v>
      </c>
      <c r="I236" s="177">
        <v>117.31</v>
      </c>
      <c r="J236" s="177">
        <v>0.77</v>
      </c>
      <c r="K236" s="177">
        <v>0.16</v>
      </c>
      <c r="L236" s="177">
        <v>0.16</v>
      </c>
      <c r="M236" s="177">
        <v>0.03</v>
      </c>
      <c r="N236" s="177">
        <v>0.01</v>
      </c>
      <c r="O236" s="177">
        <v>87.66</v>
      </c>
      <c r="P236" s="177">
        <v>64.8</v>
      </c>
      <c r="Q236" s="177">
        <v>3.5</v>
      </c>
      <c r="R236" s="177">
        <v>1.7000000000000001E-2</v>
      </c>
      <c r="S236" s="177">
        <v>33.299999999999997</v>
      </c>
      <c r="T236" s="177">
        <v>1.31</v>
      </c>
    </row>
    <row r="237" spans="2:20" s="176" customFormat="1" ht="27.75" customHeight="1" x14ac:dyDescent="0.3">
      <c r="B237" s="177">
        <v>349</v>
      </c>
      <c r="C237" s="352" t="s">
        <v>311</v>
      </c>
      <c r="D237" s="352"/>
      <c r="E237" s="177">
        <v>200</v>
      </c>
      <c r="F237" s="177">
        <v>0.22</v>
      </c>
      <c r="G237" s="177"/>
      <c r="H237" s="177">
        <v>24.42</v>
      </c>
      <c r="I237" s="177">
        <v>98.56</v>
      </c>
      <c r="J237" s="177"/>
      <c r="K237" s="177"/>
      <c r="L237" s="177">
        <v>0.2</v>
      </c>
      <c r="M237" s="177"/>
      <c r="N237" s="177"/>
      <c r="O237" s="177">
        <v>22.6</v>
      </c>
      <c r="P237" s="177">
        <v>7.7</v>
      </c>
      <c r="Q237" s="177">
        <v>0</v>
      </c>
      <c r="R237" s="177">
        <v>0</v>
      </c>
      <c r="S237" s="177">
        <v>3</v>
      </c>
      <c r="T237" s="177">
        <v>0.66</v>
      </c>
    </row>
    <row r="238" spans="2:20" s="176" customFormat="1" ht="18" customHeight="1" x14ac:dyDescent="0.3">
      <c r="B238" s="177" t="s">
        <v>224</v>
      </c>
      <c r="C238" s="352" t="s">
        <v>235</v>
      </c>
      <c r="D238" s="352"/>
      <c r="E238" s="177">
        <v>40</v>
      </c>
      <c r="F238" s="177">
        <v>2.64</v>
      </c>
      <c r="G238" s="177">
        <v>0.48</v>
      </c>
      <c r="H238" s="177">
        <v>13.68</v>
      </c>
      <c r="I238" s="177">
        <v>69.599999999999994</v>
      </c>
      <c r="J238" s="177">
        <v>0.08</v>
      </c>
      <c r="K238" s="177">
        <v>0.04</v>
      </c>
      <c r="L238" s="177">
        <v>0</v>
      </c>
      <c r="M238" s="177">
        <v>0</v>
      </c>
      <c r="N238" s="177">
        <v>2.4</v>
      </c>
      <c r="O238" s="177">
        <v>14</v>
      </c>
      <c r="P238" s="177">
        <v>63.2</v>
      </c>
      <c r="Q238" s="177">
        <v>1.2</v>
      </c>
      <c r="R238" s="177">
        <v>1E-3</v>
      </c>
      <c r="S238" s="177">
        <v>9.4</v>
      </c>
      <c r="T238" s="177">
        <v>0.78</v>
      </c>
    </row>
    <row r="239" spans="2:20" s="176" customFormat="1" ht="18" customHeight="1" x14ac:dyDescent="0.3">
      <c r="B239" s="177" t="s">
        <v>224</v>
      </c>
      <c r="C239" s="352" t="s">
        <v>117</v>
      </c>
      <c r="D239" s="352"/>
      <c r="E239" s="177">
        <v>30</v>
      </c>
      <c r="F239" s="177">
        <v>1.52</v>
      </c>
      <c r="G239" s="177">
        <v>0.16</v>
      </c>
      <c r="H239" s="177">
        <v>9.84</v>
      </c>
      <c r="I239" s="177">
        <v>46.9</v>
      </c>
      <c r="J239" s="177">
        <v>0.02</v>
      </c>
      <c r="K239" s="177">
        <v>0.01</v>
      </c>
      <c r="L239" s="177">
        <v>0.44</v>
      </c>
      <c r="M239" s="177">
        <v>0</v>
      </c>
      <c r="N239" s="177">
        <v>0.7</v>
      </c>
      <c r="O239" s="177">
        <v>4</v>
      </c>
      <c r="P239" s="177">
        <v>13</v>
      </c>
      <c r="Q239" s="177">
        <v>8.0000000000000002E-3</v>
      </c>
      <c r="R239" s="177">
        <v>1E-3</v>
      </c>
      <c r="S239" s="177">
        <v>0</v>
      </c>
      <c r="T239" s="177">
        <v>0.22</v>
      </c>
    </row>
    <row r="240" spans="2:20" s="176" customFormat="1" ht="26.25" customHeight="1" x14ac:dyDescent="0.3">
      <c r="B240" s="350" t="s">
        <v>236</v>
      </c>
      <c r="C240" s="350"/>
      <c r="D240" s="350"/>
      <c r="E240" s="178">
        <f>E233+E235+E236+E237+E238+E239+250+15</f>
        <v>915</v>
      </c>
      <c r="F240" s="178">
        <f>SUM(F233:F239)</f>
        <v>38.860000000000007</v>
      </c>
      <c r="G240" s="178">
        <f t="shared" ref="G240:T240" si="54">SUM(G233:G239)</f>
        <v>33.459999999999994</v>
      </c>
      <c r="H240" s="178">
        <f t="shared" si="54"/>
        <v>92.43</v>
      </c>
      <c r="I240" s="178">
        <f t="shared" si="54"/>
        <v>826.40000000000009</v>
      </c>
      <c r="J240" s="178">
        <f t="shared" si="54"/>
        <v>1.25</v>
      </c>
      <c r="K240" s="178">
        <f t="shared" si="54"/>
        <v>0.65000000000000013</v>
      </c>
      <c r="L240" s="178">
        <f t="shared" si="54"/>
        <v>19.382000000000001</v>
      </c>
      <c r="M240" s="178">
        <f t="shared" si="54"/>
        <v>1.1200000000000001</v>
      </c>
      <c r="N240" s="178">
        <f t="shared" si="54"/>
        <v>3.4889999999999999</v>
      </c>
      <c r="O240" s="178">
        <f t="shared" si="54"/>
        <v>227.20999999999998</v>
      </c>
      <c r="P240" s="178">
        <f t="shared" si="54"/>
        <v>286.39999999999998</v>
      </c>
      <c r="Q240" s="178">
        <f t="shared" si="54"/>
        <v>4.8380000000000001</v>
      </c>
      <c r="R240" s="178">
        <f t="shared" si="54"/>
        <v>2.0000000000000004E-2</v>
      </c>
      <c r="S240" s="178">
        <f t="shared" si="54"/>
        <v>104.33000000000001</v>
      </c>
      <c r="T240" s="178">
        <f t="shared" si="54"/>
        <v>7.16</v>
      </c>
    </row>
    <row r="241" spans="2:20" s="176" customFormat="1" ht="18" customHeight="1" x14ac:dyDescent="0.3">
      <c r="B241" s="350" t="s">
        <v>226</v>
      </c>
      <c r="C241" s="350"/>
      <c r="D241" s="350"/>
      <c r="E241" s="350"/>
      <c r="F241" s="179">
        <f t="shared" ref="F241:T241" si="55">F240/F248</f>
        <v>0.43177777777777787</v>
      </c>
      <c r="G241" s="179">
        <f t="shared" si="55"/>
        <v>0.36369565217391298</v>
      </c>
      <c r="H241" s="179">
        <f t="shared" si="55"/>
        <v>0.24133159268929505</v>
      </c>
      <c r="I241" s="179">
        <f t="shared" si="55"/>
        <v>0.30382352941176471</v>
      </c>
      <c r="J241" s="179">
        <f t="shared" si="55"/>
        <v>0.8928571428571429</v>
      </c>
      <c r="K241" s="179">
        <f t="shared" si="55"/>
        <v>0.40625000000000006</v>
      </c>
      <c r="L241" s="179">
        <f t="shared" si="55"/>
        <v>0.27688571428571429</v>
      </c>
      <c r="M241" s="179">
        <f t="shared" si="55"/>
        <v>1.2444444444444445</v>
      </c>
      <c r="N241" s="179">
        <f t="shared" si="55"/>
        <v>0.29075000000000001</v>
      </c>
      <c r="O241" s="179">
        <f t="shared" si="55"/>
        <v>0.18934166666666666</v>
      </c>
      <c r="P241" s="179">
        <f t="shared" si="55"/>
        <v>0.23866666666666664</v>
      </c>
      <c r="Q241" s="179">
        <f t="shared" si="55"/>
        <v>0.34557142857142858</v>
      </c>
      <c r="R241" s="179">
        <f t="shared" si="55"/>
        <v>0.20000000000000004</v>
      </c>
      <c r="S241" s="179">
        <f t="shared" si="55"/>
        <v>0.34776666666666672</v>
      </c>
      <c r="T241" s="179">
        <f t="shared" si="55"/>
        <v>0.39777777777777779</v>
      </c>
    </row>
    <row r="242" spans="2:20" s="176" customFormat="1" ht="18" customHeight="1" x14ac:dyDescent="0.3">
      <c r="B242" s="355" t="s">
        <v>237</v>
      </c>
      <c r="C242" s="355"/>
      <c r="D242" s="355"/>
      <c r="E242" s="355"/>
      <c r="F242" s="355"/>
      <c r="G242" s="355"/>
      <c r="H242" s="355"/>
      <c r="I242" s="355"/>
      <c r="J242" s="355"/>
      <c r="K242" s="355"/>
      <c r="L242" s="355"/>
      <c r="M242" s="355"/>
      <c r="N242" s="355"/>
      <c r="O242" s="355"/>
      <c r="P242" s="355"/>
      <c r="Q242" s="355"/>
      <c r="R242" s="355"/>
      <c r="S242" s="355"/>
      <c r="T242" s="355"/>
    </row>
    <row r="243" spans="2:20" s="176" customFormat="1" ht="18" customHeight="1" x14ac:dyDescent="0.3">
      <c r="B243" s="177" t="s">
        <v>224</v>
      </c>
      <c r="C243" s="352" t="s">
        <v>238</v>
      </c>
      <c r="D243" s="352"/>
      <c r="E243" s="177">
        <v>100</v>
      </c>
      <c r="F243" s="177">
        <v>7.86</v>
      </c>
      <c r="G243" s="177">
        <v>5.57</v>
      </c>
      <c r="H243" s="177">
        <v>53.71</v>
      </c>
      <c r="I243" s="177">
        <v>297.14</v>
      </c>
      <c r="J243" s="177">
        <v>0.1</v>
      </c>
      <c r="K243" s="177">
        <v>0.04</v>
      </c>
      <c r="L243" s="177">
        <v>0</v>
      </c>
      <c r="M243" s="177">
        <v>0.1</v>
      </c>
      <c r="N243" s="177"/>
      <c r="O243" s="177">
        <v>16.170000000000002</v>
      </c>
      <c r="P243" s="177">
        <v>0</v>
      </c>
      <c r="Q243" s="177">
        <v>0</v>
      </c>
      <c r="R243" s="177">
        <v>0</v>
      </c>
      <c r="S243" s="177">
        <v>11.19</v>
      </c>
      <c r="T243" s="177">
        <v>0.9</v>
      </c>
    </row>
    <row r="244" spans="2:20" s="176" customFormat="1" ht="24" customHeight="1" x14ac:dyDescent="0.3">
      <c r="B244" s="177">
        <v>349</v>
      </c>
      <c r="C244" s="352" t="s">
        <v>239</v>
      </c>
      <c r="D244" s="352"/>
      <c r="E244" s="177">
        <v>200</v>
      </c>
      <c r="F244" s="177">
        <v>0.22</v>
      </c>
      <c r="G244" s="177">
        <v>0</v>
      </c>
      <c r="H244" s="177">
        <v>24.42</v>
      </c>
      <c r="I244" s="177">
        <v>98.56</v>
      </c>
      <c r="J244" s="177"/>
      <c r="K244" s="177"/>
      <c r="L244" s="177">
        <v>0.2</v>
      </c>
      <c r="M244" s="177"/>
      <c r="N244" s="177"/>
      <c r="O244" s="177">
        <v>22.6</v>
      </c>
      <c r="P244" s="177">
        <v>7.7</v>
      </c>
      <c r="Q244" s="177">
        <v>0</v>
      </c>
      <c r="R244" s="177">
        <v>0</v>
      </c>
      <c r="S244" s="177">
        <v>3</v>
      </c>
      <c r="T244" s="177">
        <v>0.66</v>
      </c>
    </row>
    <row r="245" spans="2:20" s="176" customFormat="1" ht="18" customHeight="1" x14ac:dyDescent="0.3">
      <c r="B245" s="356" t="s">
        <v>240</v>
      </c>
      <c r="C245" s="357"/>
      <c r="D245" s="358"/>
      <c r="E245" s="178">
        <f>E243+E244</f>
        <v>300</v>
      </c>
      <c r="F245" s="178">
        <f t="shared" ref="F245:T245" si="56">F243+F244</f>
        <v>8.08</v>
      </c>
      <c r="G245" s="178">
        <f t="shared" si="56"/>
        <v>5.57</v>
      </c>
      <c r="H245" s="178">
        <f t="shared" si="56"/>
        <v>78.13</v>
      </c>
      <c r="I245" s="178">
        <f t="shared" si="56"/>
        <v>395.7</v>
      </c>
      <c r="J245" s="178">
        <f t="shared" si="56"/>
        <v>0.1</v>
      </c>
      <c r="K245" s="178">
        <f t="shared" si="56"/>
        <v>0.04</v>
      </c>
      <c r="L245" s="178">
        <f t="shared" si="56"/>
        <v>0.2</v>
      </c>
      <c r="M245" s="178">
        <f t="shared" si="56"/>
        <v>0.1</v>
      </c>
      <c r="N245" s="178">
        <f t="shared" si="56"/>
        <v>0</v>
      </c>
      <c r="O245" s="178">
        <f t="shared" si="56"/>
        <v>38.770000000000003</v>
      </c>
      <c r="P245" s="178">
        <f t="shared" si="56"/>
        <v>7.7</v>
      </c>
      <c r="Q245" s="178">
        <f t="shared" si="56"/>
        <v>0</v>
      </c>
      <c r="R245" s="178">
        <f t="shared" si="56"/>
        <v>0</v>
      </c>
      <c r="S245" s="178">
        <f t="shared" si="56"/>
        <v>14.19</v>
      </c>
      <c r="T245" s="178">
        <f t="shared" si="56"/>
        <v>1.56</v>
      </c>
    </row>
    <row r="246" spans="2:20" s="176" customFormat="1" ht="18" customHeight="1" x14ac:dyDescent="0.3">
      <c r="B246" s="350" t="s">
        <v>226</v>
      </c>
      <c r="C246" s="350"/>
      <c r="D246" s="350"/>
      <c r="E246" s="350"/>
      <c r="F246" s="179">
        <f>F245/F248</f>
        <v>8.9777777777777776E-2</v>
      </c>
      <c r="G246" s="179">
        <f t="shared" ref="G246:T246" si="57">G245/G248</f>
        <v>6.0543478260869567E-2</v>
      </c>
      <c r="H246" s="179">
        <f t="shared" si="57"/>
        <v>0.2039947780678851</v>
      </c>
      <c r="I246" s="179">
        <f t="shared" si="57"/>
        <v>0.14547794117647059</v>
      </c>
      <c r="J246" s="179">
        <f t="shared" si="57"/>
        <v>7.1428571428571438E-2</v>
      </c>
      <c r="K246" s="179">
        <f t="shared" si="57"/>
        <v>2.4999999999999998E-2</v>
      </c>
      <c r="L246" s="179">
        <f t="shared" si="57"/>
        <v>2.8571428571428571E-3</v>
      </c>
      <c r="M246" s="179">
        <f t="shared" si="57"/>
        <v>0.11111111111111112</v>
      </c>
      <c r="N246" s="179">
        <f t="shared" si="57"/>
        <v>0</v>
      </c>
      <c r="O246" s="179">
        <f t="shared" si="57"/>
        <v>3.2308333333333335E-2</v>
      </c>
      <c r="P246" s="179">
        <f t="shared" si="57"/>
        <v>6.4166666666666669E-3</v>
      </c>
      <c r="Q246" s="179">
        <f t="shared" si="57"/>
        <v>0</v>
      </c>
      <c r="R246" s="179">
        <f t="shared" si="57"/>
        <v>0</v>
      </c>
      <c r="S246" s="179">
        <f t="shared" si="57"/>
        <v>4.7300000000000002E-2</v>
      </c>
      <c r="T246" s="179">
        <f t="shared" si="57"/>
        <v>8.666666666666667E-2</v>
      </c>
    </row>
    <row r="247" spans="2:20" s="176" customFormat="1" ht="18" customHeight="1" x14ac:dyDescent="0.3">
      <c r="B247" s="350" t="s">
        <v>241</v>
      </c>
      <c r="C247" s="350"/>
      <c r="D247" s="350"/>
      <c r="E247" s="350"/>
      <c r="F247" s="178">
        <f>F245+F240+F230</f>
        <v>66.710000000000008</v>
      </c>
      <c r="G247" s="178">
        <f t="shared" ref="G247:T247" si="58">G245+G240+G230</f>
        <v>58.069999999999993</v>
      </c>
      <c r="H247" s="178">
        <f t="shared" si="58"/>
        <v>247.96</v>
      </c>
      <c r="I247" s="178">
        <f t="shared" si="58"/>
        <v>1782.56</v>
      </c>
      <c r="J247" s="178">
        <f t="shared" si="58"/>
        <v>1.657</v>
      </c>
      <c r="K247" s="178">
        <f t="shared" si="58"/>
        <v>0.99000000000000021</v>
      </c>
      <c r="L247" s="178">
        <f t="shared" si="58"/>
        <v>37.251999999999995</v>
      </c>
      <c r="M247" s="178">
        <f t="shared" si="58"/>
        <v>1.2921000000000002</v>
      </c>
      <c r="N247" s="178">
        <f t="shared" si="58"/>
        <v>4.2889999999999997</v>
      </c>
      <c r="O247" s="178">
        <f t="shared" si="58"/>
        <v>474.56999999999994</v>
      </c>
      <c r="P247" s="178">
        <f t="shared" si="58"/>
        <v>700.27</v>
      </c>
      <c r="Q247" s="178">
        <f t="shared" si="58"/>
        <v>6.7279999999999998</v>
      </c>
      <c r="R247" s="178">
        <f t="shared" si="58"/>
        <v>0.12400000000000001</v>
      </c>
      <c r="S247" s="178">
        <f t="shared" si="58"/>
        <v>212.18</v>
      </c>
      <c r="T247" s="178">
        <f t="shared" si="58"/>
        <v>12.350000000000001</v>
      </c>
    </row>
    <row r="248" spans="2:20" s="176" customFormat="1" ht="18" customHeight="1" x14ac:dyDescent="0.3">
      <c r="B248" s="350" t="s">
        <v>242</v>
      </c>
      <c r="C248" s="350"/>
      <c r="D248" s="350"/>
      <c r="E248" s="350"/>
      <c r="F248" s="177">
        <v>90</v>
      </c>
      <c r="G248" s="177">
        <v>92</v>
      </c>
      <c r="H248" s="177">
        <v>383</v>
      </c>
      <c r="I248" s="177">
        <v>2720</v>
      </c>
      <c r="J248" s="177">
        <v>1.4</v>
      </c>
      <c r="K248" s="177">
        <v>1.6</v>
      </c>
      <c r="L248" s="177">
        <v>70</v>
      </c>
      <c r="M248" s="177">
        <v>0.9</v>
      </c>
      <c r="N248" s="177">
        <v>12</v>
      </c>
      <c r="O248" s="177">
        <v>1200</v>
      </c>
      <c r="P248" s="177">
        <v>1200</v>
      </c>
      <c r="Q248" s="177">
        <v>14</v>
      </c>
      <c r="R248" s="177">
        <v>0.1</v>
      </c>
      <c r="S248" s="177">
        <v>300</v>
      </c>
      <c r="T248" s="177">
        <v>18</v>
      </c>
    </row>
    <row r="249" spans="2:20" s="176" customFormat="1" ht="18" customHeight="1" x14ac:dyDescent="0.3">
      <c r="B249" s="350" t="s">
        <v>226</v>
      </c>
      <c r="C249" s="350"/>
      <c r="D249" s="350"/>
      <c r="E249" s="350"/>
      <c r="F249" s="179">
        <f>F247/F248</f>
        <v>0.74122222222222234</v>
      </c>
      <c r="G249" s="179">
        <f t="shared" ref="G249:T249" si="59">G247/G248</f>
        <v>0.63119565217391294</v>
      </c>
      <c r="H249" s="179">
        <f t="shared" si="59"/>
        <v>0.64741514360313313</v>
      </c>
      <c r="I249" s="179">
        <f t="shared" si="59"/>
        <v>0.65535294117647058</v>
      </c>
      <c r="J249" s="179">
        <f t="shared" si="59"/>
        <v>1.1835714285714287</v>
      </c>
      <c r="K249" s="179">
        <f t="shared" si="59"/>
        <v>0.61875000000000013</v>
      </c>
      <c r="L249" s="179">
        <f t="shared" si="59"/>
        <v>0.53217142857142852</v>
      </c>
      <c r="M249" s="179">
        <f t="shared" si="59"/>
        <v>1.4356666666666669</v>
      </c>
      <c r="N249" s="179">
        <f t="shared" si="59"/>
        <v>0.35741666666666666</v>
      </c>
      <c r="O249" s="179">
        <f t="shared" si="59"/>
        <v>0.39547499999999997</v>
      </c>
      <c r="P249" s="179">
        <f t="shared" si="59"/>
        <v>0.58355833333333329</v>
      </c>
      <c r="Q249" s="179">
        <f t="shared" si="59"/>
        <v>0.48057142857142854</v>
      </c>
      <c r="R249" s="179">
        <f t="shared" si="59"/>
        <v>1.24</v>
      </c>
      <c r="S249" s="179">
        <f t="shared" si="59"/>
        <v>0.70726666666666671</v>
      </c>
      <c r="T249" s="179">
        <f t="shared" si="59"/>
        <v>0.68611111111111123</v>
      </c>
    </row>
    <row r="250" spans="2:20" s="176" customFormat="1" ht="18" customHeight="1" x14ac:dyDescent="0.3">
      <c r="B250" s="379" t="s">
        <v>259</v>
      </c>
      <c r="C250" s="379"/>
      <c r="D250" s="379"/>
      <c r="E250" s="379"/>
      <c r="F250" s="379"/>
      <c r="G250" s="379"/>
      <c r="H250" s="379"/>
      <c r="I250" s="379"/>
      <c r="J250" s="379"/>
      <c r="K250" s="177"/>
      <c r="L250" s="177"/>
      <c r="M250" s="372" t="s">
        <v>187</v>
      </c>
      <c r="N250" s="372"/>
      <c r="O250" s="372"/>
      <c r="P250" s="372"/>
      <c r="Q250" s="372"/>
      <c r="R250" s="372"/>
      <c r="S250" s="372"/>
      <c r="T250" s="372"/>
    </row>
    <row r="251" spans="2:20" s="176" customFormat="1" ht="18" customHeight="1" x14ac:dyDescent="0.3">
      <c r="B251" s="177"/>
      <c r="C251" s="177"/>
      <c r="D251" s="178"/>
      <c r="E251" s="178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</row>
    <row r="252" spans="2:20" s="176" customFormat="1" ht="18" customHeight="1" x14ac:dyDescent="0.3">
      <c r="B252" s="355" t="s">
        <v>312</v>
      </c>
      <c r="C252" s="355"/>
      <c r="D252" s="355"/>
      <c r="E252" s="355"/>
      <c r="F252" s="355"/>
      <c r="G252" s="355"/>
      <c r="H252" s="355"/>
      <c r="I252" s="355"/>
      <c r="J252" s="355"/>
      <c r="K252" s="355"/>
      <c r="L252" s="355"/>
      <c r="M252" s="355"/>
      <c r="N252" s="355"/>
      <c r="O252" s="355"/>
      <c r="P252" s="355"/>
      <c r="Q252" s="355"/>
      <c r="R252" s="355"/>
      <c r="S252" s="355"/>
      <c r="T252" s="355"/>
    </row>
    <row r="253" spans="2:20" s="176" customFormat="1" ht="18" customHeight="1" x14ac:dyDescent="0.3">
      <c r="B253" s="350" t="s">
        <v>261</v>
      </c>
      <c r="C253" s="350"/>
      <c r="D253" s="177"/>
      <c r="E253" s="177"/>
      <c r="F253" s="177"/>
      <c r="G253" s="372" t="s">
        <v>262</v>
      </c>
      <c r="H253" s="372"/>
      <c r="I253" s="372"/>
      <c r="J253" s="177"/>
      <c r="K253" s="177"/>
      <c r="L253" s="350" t="s">
        <v>191</v>
      </c>
      <c r="M253" s="350"/>
      <c r="N253" s="372" t="s">
        <v>192</v>
      </c>
      <c r="O253" s="372"/>
      <c r="P253" s="372"/>
      <c r="Q253" s="372"/>
      <c r="R253" s="177"/>
      <c r="S253" s="177"/>
      <c r="T253" s="177"/>
    </row>
    <row r="254" spans="2:20" s="176" customFormat="1" ht="18" customHeight="1" x14ac:dyDescent="0.3">
      <c r="B254" s="177"/>
      <c r="C254" s="177"/>
      <c r="D254" s="177"/>
      <c r="E254" s="355" t="s">
        <v>194</v>
      </c>
      <c r="F254" s="355"/>
      <c r="G254" s="177">
        <v>2</v>
      </c>
      <c r="H254" s="177"/>
      <c r="I254" s="177"/>
      <c r="J254" s="177"/>
      <c r="K254" s="177"/>
      <c r="L254" s="350" t="s">
        <v>195</v>
      </c>
      <c r="M254" s="350"/>
      <c r="N254" s="372" t="s">
        <v>347</v>
      </c>
      <c r="O254" s="372"/>
      <c r="P254" s="372"/>
      <c r="Q254" s="372"/>
      <c r="R254" s="372"/>
      <c r="S254" s="372"/>
      <c r="T254" s="372"/>
    </row>
    <row r="255" spans="2:20" s="176" customFormat="1" ht="18" customHeight="1" x14ac:dyDescent="0.3">
      <c r="B255" s="255" t="s">
        <v>0</v>
      </c>
      <c r="C255" s="378" t="s">
        <v>198</v>
      </c>
      <c r="D255" s="378"/>
      <c r="E255" s="378" t="s">
        <v>199</v>
      </c>
      <c r="F255" s="378" t="s">
        <v>200</v>
      </c>
      <c r="G255" s="378"/>
      <c r="H255" s="378"/>
      <c r="I255" s="255" t="s">
        <v>201</v>
      </c>
      <c r="J255" s="378" t="s">
        <v>202</v>
      </c>
      <c r="K255" s="378"/>
      <c r="L255" s="378"/>
      <c r="M255" s="378"/>
      <c r="N255" s="378"/>
      <c r="O255" s="378" t="s">
        <v>203</v>
      </c>
      <c r="P255" s="378"/>
      <c r="Q255" s="378"/>
      <c r="R255" s="378"/>
      <c r="S255" s="378"/>
      <c r="T255" s="378"/>
    </row>
    <row r="256" spans="2:20" s="176" customFormat="1" ht="18" customHeight="1" x14ac:dyDescent="0.3">
      <c r="B256" s="255" t="s">
        <v>245</v>
      </c>
      <c r="C256" s="378"/>
      <c r="D256" s="378"/>
      <c r="E256" s="378"/>
      <c r="F256" s="255" t="s">
        <v>204</v>
      </c>
      <c r="G256" s="255" t="s">
        <v>205</v>
      </c>
      <c r="H256" s="255" t="s">
        <v>206</v>
      </c>
      <c r="I256" s="255" t="s">
        <v>207</v>
      </c>
      <c r="J256" s="255" t="s">
        <v>208</v>
      </c>
      <c r="K256" s="255" t="s">
        <v>209</v>
      </c>
      <c r="L256" s="255" t="s">
        <v>210</v>
      </c>
      <c r="M256" s="255" t="s">
        <v>211</v>
      </c>
      <c r="N256" s="255" t="s">
        <v>212</v>
      </c>
      <c r="O256" s="255" t="s">
        <v>213</v>
      </c>
      <c r="P256" s="255" t="s">
        <v>214</v>
      </c>
      <c r="Q256" s="255" t="s">
        <v>215</v>
      </c>
      <c r="R256" s="255" t="s">
        <v>216</v>
      </c>
      <c r="S256" s="255" t="s">
        <v>217</v>
      </c>
      <c r="T256" s="255" t="s">
        <v>218</v>
      </c>
    </row>
    <row r="257" spans="2:20" s="176" customFormat="1" ht="18" customHeight="1" x14ac:dyDescent="0.3">
      <c r="B257" s="183">
        <v>1</v>
      </c>
      <c r="C257" s="373">
        <v>2</v>
      </c>
      <c r="D257" s="373"/>
      <c r="E257" s="183">
        <v>3</v>
      </c>
      <c r="F257" s="183">
        <v>4</v>
      </c>
      <c r="G257" s="183">
        <v>5</v>
      </c>
      <c r="H257" s="183">
        <v>6</v>
      </c>
      <c r="I257" s="183">
        <v>7</v>
      </c>
      <c r="J257" s="183">
        <v>8</v>
      </c>
      <c r="K257" s="183">
        <v>9</v>
      </c>
      <c r="L257" s="183">
        <v>10</v>
      </c>
      <c r="M257" s="183">
        <v>11</v>
      </c>
      <c r="N257" s="183">
        <v>12</v>
      </c>
      <c r="O257" s="183">
        <v>13</v>
      </c>
      <c r="P257" s="183">
        <v>14</v>
      </c>
      <c r="Q257" s="183">
        <v>15</v>
      </c>
      <c r="R257" s="183">
        <v>16</v>
      </c>
      <c r="S257" s="183">
        <v>17</v>
      </c>
      <c r="T257" s="183">
        <v>18</v>
      </c>
    </row>
    <row r="258" spans="2:20" s="176" customFormat="1" ht="18" customHeight="1" x14ac:dyDescent="0.3">
      <c r="B258" s="355" t="s">
        <v>219</v>
      </c>
      <c r="C258" s="355"/>
      <c r="D258" s="355"/>
      <c r="E258" s="355"/>
      <c r="F258" s="355"/>
      <c r="G258" s="355"/>
      <c r="H258" s="355"/>
      <c r="I258" s="355"/>
      <c r="J258" s="355"/>
      <c r="K258" s="355"/>
      <c r="L258" s="355"/>
      <c r="M258" s="355"/>
      <c r="N258" s="355"/>
      <c r="O258" s="355"/>
      <c r="P258" s="355"/>
      <c r="Q258" s="355"/>
      <c r="R258" s="355"/>
      <c r="S258" s="355"/>
      <c r="T258" s="355"/>
    </row>
    <row r="259" spans="2:20" s="176" customFormat="1" ht="18" customHeight="1" x14ac:dyDescent="0.3">
      <c r="B259" s="188" t="s">
        <v>264</v>
      </c>
      <c r="C259" s="366" t="s">
        <v>265</v>
      </c>
      <c r="D259" s="366"/>
      <c r="E259" s="173">
        <v>30</v>
      </c>
      <c r="F259" s="173">
        <v>0.15</v>
      </c>
      <c r="G259" s="173">
        <v>0</v>
      </c>
      <c r="H259" s="173">
        <v>17.850000000000001</v>
      </c>
      <c r="I259" s="173">
        <v>71.7</v>
      </c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</row>
    <row r="260" spans="2:20" s="176" customFormat="1" ht="27.75" customHeight="1" x14ac:dyDescent="0.3">
      <c r="B260" s="177">
        <v>222</v>
      </c>
      <c r="C260" s="352" t="s">
        <v>181</v>
      </c>
      <c r="D260" s="352"/>
      <c r="E260" s="177">
        <v>200</v>
      </c>
      <c r="F260" s="177">
        <v>17.920000000000002</v>
      </c>
      <c r="G260" s="177">
        <v>20.6</v>
      </c>
      <c r="H260" s="177">
        <v>43.2</v>
      </c>
      <c r="I260" s="177">
        <v>429.51</v>
      </c>
      <c r="J260" s="177">
        <v>0.11</v>
      </c>
      <c r="K260" s="177">
        <v>0.4</v>
      </c>
      <c r="L260" s="177">
        <v>0.56000000000000005</v>
      </c>
      <c r="M260" s="177">
        <v>0.26</v>
      </c>
      <c r="N260" s="177">
        <v>1.8</v>
      </c>
      <c r="O260" s="177">
        <v>169</v>
      </c>
      <c r="P260" s="177">
        <v>341.9</v>
      </c>
      <c r="Q260" s="177">
        <v>2.2000000000000002</v>
      </c>
      <c r="R260" s="177">
        <v>8.0000000000000002E-3</v>
      </c>
      <c r="S260" s="177">
        <v>57.07</v>
      </c>
      <c r="T260" s="177">
        <v>1.54</v>
      </c>
    </row>
    <row r="261" spans="2:20" s="176" customFormat="1" ht="18" customHeight="1" x14ac:dyDescent="0.3">
      <c r="B261" s="173">
        <v>376</v>
      </c>
      <c r="C261" s="359" t="s">
        <v>141</v>
      </c>
      <c r="D261" s="359"/>
      <c r="E261" s="173">
        <v>200</v>
      </c>
      <c r="F261" s="173">
        <v>0.2</v>
      </c>
      <c r="G261" s="173">
        <v>0.05</v>
      </c>
      <c r="H261" s="173">
        <v>15.01</v>
      </c>
      <c r="I261" s="173">
        <v>61</v>
      </c>
      <c r="J261" s="173">
        <v>0</v>
      </c>
      <c r="K261" s="173">
        <v>0.01</v>
      </c>
      <c r="L261" s="173">
        <v>9</v>
      </c>
      <c r="M261" s="173">
        <v>1E-4</v>
      </c>
      <c r="N261" s="173">
        <v>4.4999999999999998E-2</v>
      </c>
      <c r="O261" s="173">
        <v>5.25</v>
      </c>
      <c r="P261" s="173">
        <v>8.24</v>
      </c>
      <c r="Q261" s="173">
        <v>8.0000000000000002E-3</v>
      </c>
      <c r="R261" s="173">
        <v>0</v>
      </c>
      <c r="S261" s="173">
        <v>4.4000000000000004</v>
      </c>
      <c r="T261" s="173">
        <v>0.87</v>
      </c>
    </row>
    <row r="262" spans="2:20" s="176" customFormat="1" ht="18" customHeight="1" x14ac:dyDescent="0.3">
      <c r="B262" s="177" t="s">
        <v>224</v>
      </c>
      <c r="C262" s="352" t="s">
        <v>267</v>
      </c>
      <c r="D262" s="352"/>
      <c r="E262" s="177">
        <v>40</v>
      </c>
      <c r="F262" s="177">
        <v>2.67</v>
      </c>
      <c r="G262" s="177">
        <v>0.53</v>
      </c>
      <c r="H262" s="177">
        <v>13.73</v>
      </c>
      <c r="I262" s="177">
        <v>70.400000000000006</v>
      </c>
      <c r="J262" s="177">
        <v>0.13</v>
      </c>
      <c r="K262" s="177">
        <v>1.2999999999999999E-2</v>
      </c>
      <c r="L262" s="177">
        <v>0.1</v>
      </c>
      <c r="M262" s="177">
        <v>0</v>
      </c>
      <c r="N262" s="177">
        <v>0.93</v>
      </c>
      <c r="O262" s="177">
        <v>14</v>
      </c>
      <c r="P262" s="177">
        <v>63.2</v>
      </c>
      <c r="Q262" s="177">
        <v>1.2999999999999999E-2</v>
      </c>
      <c r="R262" s="177">
        <v>1.2999999999999999E-2</v>
      </c>
      <c r="S262" s="177">
        <v>18.8</v>
      </c>
      <c r="T262" s="177">
        <v>1.6</v>
      </c>
    </row>
    <row r="263" spans="2:20" s="176" customFormat="1" ht="18" customHeight="1" x14ac:dyDescent="0.3">
      <c r="B263" s="350" t="s">
        <v>225</v>
      </c>
      <c r="C263" s="350"/>
      <c r="D263" s="350"/>
      <c r="E263" s="178">
        <f t="shared" ref="E263:T263" si="60">SUM(E259:E262)</f>
        <v>470</v>
      </c>
      <c r="F263" s="178">
        <f t="shared" si="60"/>
        <v>20.939999999999998</v>
      </c>
      <c r="G263" s="178">
        <f t="shared" si="60"/>
        <v>21.180000000000003</v>
      </c>
      <c r="H263" s="178">
        <f t="shared" si="60"/>
        <v>89.79</v>
      </c>
      <c r="I263" s="178">
        <f t="shared" si="60"/>
        <v>632.61</v>
      </c>
      <c r="J263" s="178">
        <f t="shared" si="60"/>
        <v>0.24</v>
      </c>
      <c r="K263" s="178">
        <f t="shared" si="60"/>
        <v>0.42300000000000004</v>
      </c>
      <c r="L263" s="178">
        <f t="shared" si="60"/>
        <v>9.66</v>
      </c>
      <c r="M263" s="178">
        <f t="shared" si="60"/>
        <v>0.2601</v>
      </c>
      <c r="N263" s="178">
        <f t="shared" si="60"/>
        <v>2.7749999999999999</v>
      </c>
      <c r="O263" s="178">
        <f t="shared" si="60"/>
        <v>188.25</v>
      </c>
      <c r="P263" s="178">
        <f t="shared" si="60"/>
        <v>413.34</v>
      </c>
      <c r="Q263" s="178">
        <f t="shared" si="60"/>
        <v>2.2210000000000001</v>
      </c>
      <c r="R263" s="178">
        <f t="shared" si="60"/>
        <v>2.0999999999999998E-2</v>
      </c>
      <c r="S263" s="178">
        <f t="shared" si="60"/>
        <v>80.27</v>
      </c>
      <c r="T263" s="178">
        <f t="shared" si="60"/>
        <v>4.01</v>
      </c>
    </row>
    <row r="264" spans="2:20" s="176" customFormat="1" ht="18" customHeight="1" x14ac:dyDescent="0.3">
      <c r="B264" s="350" t="s">
        <v>226</v>
      </c>
      <c r="C264" s="350"/>
      <c r="D264" s="350"/>
      <c r="E264" s="350"/>
      <c r="F264" s="179">
        <f t="shared" ref="F264:T264" si="61">F263/F281</f>
        <v>0.23266666666666663</v>
      </c>
      <c r="G264" s="179">
        <f t="shared" si="61"/>
        <v>0.23021739130434787</v>
      </c>
      <c r="H264" s="179">
        <f t="shared" si="61"/>
        <v>0.23443864229765016</v>
      </c>
      <c r="I264" s="179">
        <f t="shared" si="61"/>
        <v>0.23257720588235295</v>
      </c>
      <c r="J264" s="179">
        <f t="shared" si="61"/>
        <v>0.17142857142857143</v>
      </c>
      <c r="K264" s="179">
        <f t="shared" si="61"/>
        <v>0.26437500000000003</v>
      </c>
      <c r="L264" s="179">
        <f t="shared" si="61"/>
        <v>0.13800000000000001</v>
      </c>
      <c r="M264" s="179">
        <f t="shared" si="61"/>
        <v>0.28899999999999998</v>
      </c>
      <c r="N264" s="179">
        <f t="shared" si="61"/>
        <v>0.23124999999999998</v>
      </c>
      <c r="O264" s="179">
        <f t="shared" si="61"/>
        <v>0.15687499999999999</v>
      </c>
      <c r="P264" s="179">
        <f t="shared" si="61"/>
        <v>0.34444999999999998</v>
      </c>
      <c r="Q264" s="179">
        <f t="shared" si="61"/>
        <v>0.15864285714285714</v>
      </c>
      <c r="R264" s="179">
        <f t="shared" si="61"/>
        <v>0.20999999999999996</v>
      </c>
      <c r="S264" s="179">
        <f t="shared" si="61"/>
        <v>0.26756666666666667</v>
      </c>
      <c r="T264" s="179">
        <f t="shared" si="61"/>
        <v>0.22277777777777777</v>
      </c>
    </row>
    <row r="265" spans="2:20" s="176" customFormat="1" ht="18" customHeight="1" x14ac:dyDescent="0.3">
      <c r="B265" s="355" t="s">
        <v>227</v>
      </c>
      <c r="C265" s="355"/>
      <c r="D265" s="355"/>
      <c r="E265" s="355"/>
      <c r="F265" s="355"/>
      <c r="G265" s="355"/>
      <c r="H265" s="355"/>
      <c r="I265" s="355"/>
      <c r="J265" s="355"/>
      <c r="K265" s="355"/>
      <c r="L265" s="355"/>
      <c r="M265" s="355"/>
      <c r="N265" s="355"/>
      <c r="O265" s="355"/>
      <c r="P265" s="355"/>
      <c r="Q265" s="355"/>
      <c r="R265" s="355"/>
      <c r="S265" s="355"/>
      <c r="T265" s="355"/>
    </row>
    <row r="266" spans="2:20" s="258" customFormat="1" ht="18" customHeight="1" x14ac:dyDescent="0.3">
      <c r="B266" s="173" t="s">
        <v>313</v>
      </c>
      <c r="C266" s="359" t="s">
        <v>314</v>
      </c>
      <c r="D266" s="359"/>
      <c r="E266" s="177">
        <v>100</v>
      </c>
      <c r="F266" s="177">
        <v>1.27</v>
      </c>
      <c r="G266" s="177">
        <v>2.88</v>
      </c>
      <c r="H266" s="177">
        <v>7.1</v>
      </c>
      <c r="I266" s="177">
        <v>56.95</v>
      </c>
      <c r="J266" s="177">
        <v>0.05</v>
      </c>
      <c r="K266" s="177">
        <v>0</v>
      </c>
      <c r="L266" s="177">
        <v>4.0199999999999996</v>
      </c>
      <c r="M266" s="177">
        <v>0.05</v>
      </c>
      <c r="N266" s="177"/>
      <c r="O266" s="177">
        <v>30.82</v>
      </c>
      <c r="P266" s="177">
        <v>52.26</v>
      </c>
      <c r="Q266" s="177"/>
      <c r="R266" s="177">
        <v>0</v>
      </c>
      <c r="S266" s="177">
        <v>34.17</v>
      </c>
      <c r="T266" s="177">
        <v>0.06</v>
      </c>
    </row>
    <row r="267" spans="2:20" s="176" customFormat="1" ht="18" customHeight="1" x14ac:dyDescent="0.3">
      <c r="B267" s="177">
        <v>71</v>
      </c>
      <c r="C267" s="352" t="s">
        <v>173</v>
      </c>
      <c r="D267" s="352"/>
      <c r="E267" s="177">
        <v>100</v>
      </c>
      <c r="F267" s="177">
        <v>1</v>
      </c>
      <c r="G267" s="177">
        <v>4.5</v>
      </c>
      <c r="H267" s="177">
        <v>14.5</v>
      </c>
      <c r="I267" s="177">
        <v>100</v>
      </c>
      <c r="J267" s="177">
        <v>0.02</v>
      </c>
      <c r="K267" s="177">
        <v>0.03</v>
      </c>
      <c r="L267" s="177">
        <v>3.83</v>
      </c>
      <c r="M267" s="177">
        <v>0.02</v>
      </c>
      <c r="N267" s="177"/>
      <c r="O267" s="177">
        <v>20.48</v>
      </c>
      <c r="P267" s="177">
        <v>0</v>
      </c>
      <c r="Q267" s="177"/>
      <c r="R267" s="177">
        <v>0</v>
      </c>
      <c r="S267" s="177">
        <v>11.7</v>
      </c>
      <c r="T267" s="177">
        <v>0.53</v>
      </c>
    </row>
    <row r="268" spans="2:20" s="176" customFormat="1" ht="17.25" customHeight="1" x14ac:dyDescent="0.3">
      <c r="B268" s="177" t="s">
        <v>289</v>
      </c>
      <c r="C268" s="380" t="s">
        <v>315</v>
      </c>
      <c r="D268" s="381"/>
      <c r="E268" s="177">
        <v>250</v>
      </c>
      <c r="F268" s="177">
        <v>2.63</v>
      </c>
      <c r="G268" s="177">
        <v>2.63</v>
      </c>
      <c r="H268" s="177">
        <v>19.38</v>
      </c>
      <c r="I268" s="177">
        <v>112.5</v>
      </c>
      <c r="J268" s="177">
        <v>0.1</v>
      </c>
      <c r="K268" s="177">
        <v>0.05</v>
      </c>
      <c r="L268" s="177">
        <v>7</v>
      </c>
      <c r="M268" s="177">
        <v>0.1</v>
      </c>
      <c r="N268" s="177"/>
      <c r="O268" s="177">
        <v>15.8</v>
      </c>
      <c r="P268" s="177">
        <v>0</v>
      </c>
      <c r="Q268" s="177"/>
      <c r="R268" s="177">
        <v>0</v>
      </c>
      <c r="S268" s="177">
        <v>24</v>
      </c>
      <c r="T268" s="177">
        <v>0.9</v>
      </c>
    </row>
    <row r="269" spans="2:20" s="176" customFormat="1" ht="18" customHeight="1" x14ac:dyDescent="0.3">
      <c r="B269" s="177">
        <v>259</v>
      </c>
      <c r="C269" s="352" t="s">
        <v>316</v>
      </c>
      <c r="D269" s="352"/>
      <c r="E269" s="177">
        <v>280</v>
      </c>
      <c r="F269" s="177">
        <v>20</v>
      </c>
      <c r="G269" s="177">
        <v>21.01</v>
      </c>
      <c r="H269" s="177">
        <v>35.71</v>
      </c>
      <c r="I269" s="177">
        <v>411.9</v>
      </c>
      <c r="J269" s="177">
        <v>0.31</v>
      </c>
      <c r="K269" s="177">
        <v>0.28000000000000003</v>
      </c>
      <c r="L269" s="177">
        <v>43.82</v>
      </c>
      <c r="M269" s="177">
        <v>7.0000000000000007E-2</v>
      </c>
      <c r="N269" s="177">
        <v>0.42</v>
      </c>
      <c r="O269" s="177">
        <v>59.08</v>
      </c>
      <c r="P269" s="177">
        <v>305.5</v>
      </c>
      <c r="Q269" s="177">
        <v>4.2</v>
      </c>
      <c r="R269" s="177">
        <v>2E-3</v>
      </c>
      <c r="S269" s="177">
        <v>78.22</v>
      </c>
      <c r="T269" s="177">
        <v>4.6500000000000004</v>
      </c>
    </row>
    <row r="270" spans="2:20" s="176" customFormat="1" ht="18" customHeight="1" x14ac:dyDescent="0.3">
      <c r="B270" s="177">
        <v>377</v>
      </c>
      <c r="C270" s="352" t="s">
        <v>149</v>
      </c>
      <c r="D270" s="352"/>
      <c r="E270" s="177" t="s">
        <v>234</v>
      </c>
      <c r="F270" s="177">
        <v>0.26</v>
      </c>
      <c r="G270" s="177">
        <v>0.06</v>
      </c>
      <c r="H270" s="177">
        <v>15.22</v>
      </c>
      <c r="I270" s="177">
        <v>62.5</v>
      </c>
      <c r="J270" s="177"/>
      <c r="K270" s="177">
        <v>0.01</v>
      </c>
      <c r="L270" s="177">
        <v>2.9</v>
      </c>
      <c r="M270" s="177">
        <v>0</v>
      </c>
      <c r="N270" s="177">
        <v>0.06</v>
      </c>
      <c r="O270" s="177">
        <v>8.0500000000000007</v>
      </c>
      <c r="P270" s="177">
        <v>9.7799999999999994</v>
      </c>
      <c r="Q270" s="177">
        <v>1.7000000000000001E-2</v>
      </c>
      <c r="R270" s="177">
        <v>0</v>
      </c>
      <c r="S270" s="177">
        <v>5.24</v>
      </c>
      <c r="T270" s="177">
        <v>0.87</v>
      </c>
    </row>
    <row r="271" spans="2:20" s="176" customFormat="1" ht="18" customHeight="1" x14ac:dyDescent="0.3">
      <c r="B271" s="177" t="s">
        <v>224</v>
      </c>
      <c r="C271" s="352" t="s">
        <v>235</v>
      </c>
      <c r="D271" s="352"/>
      <c r="E271" s="177">
        <v>40</v>
      </c>
      <c r="F271" s="177">
        <v>2.64</v>
      </c>
      <c r="G271" s="177">
        <v>0.48</v>
      </c>
      <c r="H271" s="177">
        <v>13.68</v>
      </c>
      <c r="I271" s="177">
        <v>69.599999999999994</v>
      </c>
      <c r="J271" s="177">
        <v>0.08</v>
      </c>
      <c r="K271" s="177">
        <v>0.04</v>
      </c>
      <c r="L271" s="177">
        <v>0</v>
      </c>
      <c r="M271" s="177">
        <v>0</v>
      </c>
      <c r="N271" s="177">
        <v>2.4</v>
      </c>
      <c r="O271" s="177">
        <v>14</v>
      </c>
      <c r="P271" s="177">
        <v>63.2</v>
      </c>
      <c r="Q271" s="177">
        <v>1.2</v>
      </c>
      <c r="R271" s="177">
        <v>1E-3</v>
      </c>
      <c r="S271" s="177">
        <v>9.4</v>
      </c>
      <c r="T271" s="177">
        <v>0.78</v>
      </c>
    </row>
    <row r="272" spans="2:20" s="176" customFormat="1" ht="18" customHeight="1" x14ac:dyDescent="0.3">
      <c r="B272" s="177" t="s">
        <v>224</v>
      </c>
      <c r="C272" s="352" t="s">
        <v>117</v>
      </c>
      <c r="D272" s="352"/>
      <c r="E272" s="177">
        <v>30</v>
      </c>
      <c r="F272" s="177">
        <v>1.52</v>
      </c>
      <c r="G272" s="177">
        <v>0.16</v>
      </c>
      <c r="H272" s="177">
        <v>9.84</v>
      </c>
      <c r="I272" s="177">
        <v>46.9</v>
      </c>
      <c r="J272" s="177">
        <v>0.02</v>
      </c>
      <c r="K272" s="177">
        <v>0.01</v>
      </c>
      <c r="L272" s="177">
        <v>0.44</v>
      </c>
      <c r="M272" s="177">
        <v>0</v>
      </c>
      <c r="N272" s="177">
        <v>0.7</v>
      </c>
      <c r="O272" s="177">
        <v>4</v>
      </c>
      <c r="P272" s="177">
        <v>13</v>
      </c>
      <c r="Q272" s="177">
        <v>8.0000000000000002E-3</v>
      </c>
      <c r="R272" s="177">
        <v>1E-3</v>
      </c>
      <c r="S272" s="177">
        <v>0</v>
      </c>
      <c r="T272" s="177">
        <v>0.22</v>
      </c>
    </row>
    <row r="273" spans="2:20" s="176" customFormat="1" ht="25.5" customHeight="1" x14ac:dyDescent="0.3">
      <c r="B273" s="350" t="s">
        <v>236</v>
      </c>
      <c r="C273" s="350"/>
      <c r="D273" s="350"/>
      <c r="E273" s="178">
        <f>E267+E268+E269+E271+E272+204</f>
        <v>904</v>
      </c>
      <c r="F273" s="178">
        <f>SUM(F267:F272)</f>
        <v>28.05</v>
      </c>
      <c r="G273" s="178">
        <f t="shared" ref="G273:T273" si="62">SUM(G267:G272)</f>
        <v>28.84</v>
      </c>
      <c r="H273" s="178">
        <f t="shared" si="62"/>
        <v>108.33000000000001</v>
      </c>
      <c r="I273" s="178">
        <f t="shared" si="62"/>
        <v>803.4</v>
      </c>
      <c r="J273" s="178">
        <f t="shared" si="62"/>
        <v>0.53</v>
      </c>
      <c r="K273" s="178">
        <f t="shared" si="62"/>
        <v>0.42000000000000004</v>
      </c>
      <c r="L273" s="178">
        <f t="shared" si="62"/>
        <v>57.989999999999995</v>
      </c>
      <c r="M273" s="178">
        <f t="shared" si="62"/>
        <v>0.19</v>
      </c>
      <c r="N273" s="178">
        <f t="shared" si="62"/>
        <v>3.58</v>
      </c>
      <c r="O273" s="178">
        <f t="shared" si="62"/>
        <v>121.41</v>
      </c>
      <c r="P273" s="178">
        <f t="shared" si="62"/>
        <v>391.47999999999996</v>
      </c>
      <c r="Q273" s="178">
        <f t="shared" si="62"/>
        <v>5.4250000000000007</v>
      </c>
      <c r="R273" s="178">
        <f t="shared" si="62"/>
        <v>4.0000000000000001E-3</v>
      </c>
      <c r="S273" s="178">
        <f t="shared" si="62"/>
        <v>128.56</v>
      </c>
      <c r="T273" s="178">
        <f t="shared" si="62"/>
        <v>7.95</v>
      </c>
    </row>
    <row r="274" spans="2:20" s="176" customFormat="1" ht="18" customHeight="1" x14ac:dyDescent="0.3">
      <c r="B274" s="350" t="s">
        <v>226</v>
      </c>
      <c r="C274" s="350"/>
      <c r="D274" s="350"/>
      <c r="E274" s="350"/>
      <c r="F274" s="179">
        <f t="shared" ref="F274:T274" si="63">F273/F281</f>
        <v>0.31166666666666665</v>
      </c>
      <c r="G274" s="179">
        <f t="shared" si="63"/>
        <v>0.31347826086956521</v>
      </c>
      <c r="H274" s="179">
        <f t="shared" si="63"/>
        <v>0.28284595300261101</v>
      </c>
      <c r="I274" s="179">
        <f t="shared" si="63"/>
        <v>0.29536764705882351</v>
      </c>
      <c r="J274" s="179">
        <f t="shared" si="63"/>
        <v>0.37857142857142861</v>
      </c>
      <c r="K274" s="179">
        <f t="shared" si="63"/>
        <v>0.26250000000000001</v>
      </c>
      <c r="L274" s="179">
        <f t="shared" si="63"/>
        <v>0.8284285714285714</v>
      </c>
      <c r="M274" s="179">
        <f t="shared" si="63"/>
        <v>0.21111111111111111</v>
      </c>
      <c r="N274" s="179">
        <f t="shared" si="63"/>
        <v>0.29833333333333334</v>
      </c>
      <c r="O274" s="179">
        <f t="shared" si="63"/>
        <v>0.101175</v>
      </c>
      <c r="P274" s="179">
        <f t="shared" si="63"/>
        <v>0.32623333333333332</v>
      </c>
      <c r="Q274" s="179">
        <f t="shared" si="63"/>
        <v>0.38750000000000007</v>
      </c>
      <c r="R274" s="179">
        <f t="shared" si="63"/>
        <v>0.04</v>
      </c>
      <c r="S274" s="179">
        <f t="shared" si="63"/>
        <v>0.42853333333333332</v>
      </c>
      <c r="T274" s="179">
        <f t="shared" si="63"/>
        <v>0.44166666666666665</v>
      </c>
    </row>
    <row r="275" spans="2:20" s="176" customFormat="1" ht="18" customHeight="1" x14ac:dyDescent="0.3">
      <c r="B275" s="355" t="s">
        <v>237</v>
      </c>
      <c r="C275" s="355"/>
      <c r="D275" s="355"/>
      <c r="E275" s="355"/>
      <c r="F275" s="355"/>
      <c r="G275" s="355"/>
      <c r="H275" s="355"/>
      <c r="I275" s="355"/>
      <c r="J275" s="355"/>
      <c r="K275" s="355"/>
      <c r="L275" s="355"/>
      <c r="M275" s="355"/>
      <c r="N275" s="355"/>
      <c r="O275" s="355"/>
      <c r="P275" s="355"/>
      <c r="Q275" s="355"/>
      <c r="R275" s="355"/>
      <c r="S275" s="355"/>
      <c r="T275" s="355"/>
    </row>
    <row r="276" spans="2:20" s="176" customFormat="1" ht="18" customHeight="1" x14ac:dyDescent="0.3">
      <c r="B276" s="177" t="s">
        <v>224</v>
      </c>
      <c r="C276" s="352" t="s">
        <v>274</v>
      </c>
      <c r="D276" s="352"/>
      <c r="E276" s="177">
        <v>100</v>
      </c>
      <c r="F276" s="177">
        <v>13.08</v>
      </c>
      <c r="G276" s="177">
        <v>6.06</v>
      </c>
      <c r="H276" s="177">
        <v>49.58</v>
      </c>
      <c r="I276" s="177">
        <v>306</v>
      </c>
      <c r="J276" s="177">
        <v>0.14000000000000001</v>
      </c>
      <c r="K276" s="177">
        <v>0.18</v>
      </c>
      <c r="L276" s="177">
        <v>0.18</v>
      </c>
      <c r="M276" s="177">
        <v>0.14000000000000001</v>
      </c>
      <c r="N276" s="177"/>
      <c r="O276" s="177">
        <v>75.8</v>
      </c>
      <c r="P276" s="177">
        <v>140</v>
      </c>
      <c r="Q276" s="177"/>
      <c r="R276" s="177">
        <v>0</v>
      </c>
      <c r="S276" s="177">
        <v>34.6</v>
      </c>
      <c r="T276" s="177">
        <v>1.52</v>
      </c>
    </row>
    <row r="277" spans="2:20" s="176" customFormat="1" ht="25.5" customHeight="1" x14ac:dyDescent="0.3">
      <c r="B277" s="177">
        <v>349</v>
      </c>
      <c r="C277" s="352" t="s">
        <v>239</v>
      </c>
      <c r="D277" s="352"/>
      <c r="E277" s="177">
        <v>200</v>
      </c>
      <c r="F277" s="177">
        <v>0.22</v>
      </c>
      <c r="G277" s="177">
        <v>0</v>
      </c>
      <c r="H277" s="177">
        <v>24.42</v>
      </c>
      <c r="I277" s="177">
        <v>98.56</v>
      </c>
      <c r="J277" s="177"/>
      <c r="K277" s="177"/>
      <c r="L277" s="177">
        <v>0.2</v>
      </c>
      <c r="M277" s="177"/>
      <c r="N277" s="177"/>
      <c r="O277" s="177">
        <v>22.6</v>
      </c>
      <c r="P277" s="177">
        <v>7.7</v>
      </c>
      <c r="Q277" s="177">
        <v>0</v>
      </c>
      <c r="R277" s="177">
        <v>0</v>
      </c>
      <c r="S277" s="177">
        <v>3</v>
      </c>
      <c r="T277" s="177">
        <v>0.66</v>
      </c>
    </row>
    <row r="278" spans="2:20" s="176" customFormat="1" ht="18" customHeight="1" x14ac:dyDescent="0.3">
      <c r="B278" s="356" t="s">
        <v>240</v>
      </c>
      <c r="C278" s="357"/>
      <c r="D278" s="358"/>
      <c r="E278" s="178">
        <f>SUM(E276:E277)</f>
        <v>300</v>
      </c>
      <c r="F278" s="178">
        <f t="shared" ref="F278:T278" si="64">SUM(F276:F277)</f>
        <v>13.3</v>
      </c>
      <c r="G278" s="178">
        <f t="shared" si="64"/>
        <v>6.06</v>
      </c>
      <c r="H278" s="178">
        <f t="shared" si="64"/>
        <v>74</v>
      </c>
      <c r="I278" s="178">
        <f t="shared" si="64"/>
        <v>404.56</v>
      </c>
      <c r="J278" s="178">
        <f t="shared" si="64"/>
        <v>0.14000000000000001</v>
      </c>
      <c r="K278" s="178">
        <f t="shared" si="64"/>
        <v>0.18</v>
      </c>
      <c r="L278" s="178">
        <f t="shared" si="64"/>
        <v>0.38</v>
      </c>
      <c r="M278" s="178">
        <f t="shared" si="64"/>
        <v>0.14000000000000001</v>
      </c>
      <c r="N278" s="178">
        <f t="shared" si="64"/>
        <v>0</v>
      </c>
      <c r="O278" s="178">
        <f t="shared" si="64"/>
        <v>98.4</v>
      </c>
      <c r="P278" s="178">
        <f t="shared" si="64"/>
        <v>147.69999999999999</v>
      </c>
      <c r="Q278" s="178">
        <f t="shared" si="64"/>
        <v>0</v>
      </c>
      <c r="R278" s="178">
        <f t="shared" si="64"/>
        <v>0</v>
      </c>
      <c r="S278" s="178">
        <f t="shared" si="64"/>
        <v>37.6</v>
      </c>
      <c r="T278" s="178">
        <f t="shared" si="64"/>
        <v>2.1800000000000002</v>
      </c>
    </row>
    <row r="279" spans="2:20" s="176" customFormat="1" ht="18" customHeight="1" x14ac:dyDescent="0.3">
      <c r="B279" s="350" t="s">
        <v>226</v>
      </c>
      <c r="C279" s="350"/>
      <c r="D279" s="350"/>
      <c r="E279" s="350"/>
      <c r="F279" s="179">
        <f>F278/F281</f>
        <v>0.14777777777777779</v>
      </c>
      <c r="G279" s="179">
        <f t="shared" ref="G279:T279" si="65">G278/G281</f>
        <v>6.5869565217391304E-2</v>
      </c>
      <c r="H279" s="179">
        <f t="shared" si="65"/>
        <v>0.19321148825065274</v>
      </c>
      <c r="I279" s="179">
        <f t="shared" si="65"/>
        <v>0.14873529411764705</v>
      </c>
      <c r="J279" s="179">
        <f t="shared" si="65"/>
        <v>0.10000000000000002</v>
      </c>
      <c r="K279" s="179">
        <f t="shared" si="65"/>
        <v>0.11249999999999999</v>
      </c>
      <c r="L279" s="179">
        <f t="shared" si="65"/>
        <v>5.4285714285714284E-3</v>
      </c>
      <c r="M279" s="179">
        <f t="shared" si="65"/>
        <v>0.15555555555555556</v>
      </c>
      <c r="N279" s="179">
        <f t="shared" si="65"/>
        <v>0</v>
      </c>
      <c r="O279" s="179">
        <f t="shared" si="65"/>
        <v>8.2000000000000003E-2</v>
      </c>
      <c r="P279" s="179">
        <f t="shared" si="65"/>
        <v>0.12308333333333332</v>
      </c>
      <c r="Q279" s="179">
        <f t="shared" si="65"/>
        <v>0</v>
      </c>
      <c r="R279" s="179">
        <f t="shared" si="65"/>
        <v>0</v>
      </c>
      <c r="S279" s="179">
        <f t="shared" si="65"/>
        <v>0.12533333333333332</v>
      </c>
      <c r="T279" s="179">
        <f t="shared" si="65"/>
        <v>0.12111111111111111</v>
      </c>
    </row>
    <row r="280" spans="2:20" s="176" customFormat="1" ht="18" customHeight="1" x14ac:dyDescent="0.3">
      <c r="B280" s="350" t="s">
        <v>241</v>
      </c>
      <c r="C280" s="350"/>
      <c r="D280" s="350"/>
      <c r="E280" s="350"/>
      <c r="F280" s="178">
        <f>F278+F273+F263</f>
        <v>62.29</v>
      </c>
      <c r="G280" s="178">
        <f t="shared" ref="G280:T280" si="66">G278+G273+G263</f>
        <v>56.08</v>
      </c>
      <c r="H280" s="178">
        <f t="shared" si="66"/>
        <v>272.12</v>
      </c>
      <c r="I280" s="178">
        <f t="shared" si="66"/>
        <v>1840.5700000000002</v>
      </c>
      <c r="J280" s="178">
        <f t="shared" si="66"/>
        <v>0.91</v>
      </c>
      <c r="K280" s="178">
        <f t="shared" si="66"/>
        <v>1.0230000000000001</v>
      </c>
      <c r="L280" s="178">
        <f t="shared" si="66"/>
        <v>68.03</v>
      </c>
      <c r="M280" s="178">
        <f t="shared" si="66"/>
        <v>0.59010000000000007</v>
      </c>
      <c r="N280" s="178">
        <f t="shared" si="66"/>
        <v>6.3550000000000004</v>
      </c>
      <c r="O280" s="178">
        <f t="shared" si="66"/>
        <v>408.06</v>
      </c>
      <c r="P280" s="178">
        <f t="shared" si="66"/>
        <v>952.52</v>
      </c>
      <c r="Q280" s="178">
        <f t="shared" si="66"/>
        <v>7.6460000000000008</v>
      </c>
      <c r="R280" s="178">
        <f t="shared" si="66"/>
        <v>2.4999999999999998E-2</v>
      </c>
      <c r="S280" s="178">
        <f t="shared" si="66"/>
        <v>246.43</v>
      </c>
      <c r="T280" s="178">
        <f t="shared" si="66"/>
        <v>14.14</v>
      </c>
    </row>
    <row r="281" spans="2:20" s="176" customFormat="1" ht="18" customHeight="1" x14ac:dyDescent="0.3">
      <c r="B281" s="350" t="s">
        <v>242</v>
      </c>
      <c r="C281" s="350"/>
      <c r="D281" s="350"/>
      <c r="E281" s="350"/>
      <c r="F281" s="177">
        <v>90</v>
      </c>
      <c r="G281" s="177">
        <v>92</v>
      </c>
      <c r="H281" s="177">
        <v>383</v>
      </c>
      <c r="I281" s="177">
        <v>2720</v>
      </c>
      <c r="J281" s="177">
        <v>1.4</v>
      </c>
      <c r="K281" s="177">
        <v>1.6</v>
      </c>
      <c r="L281" s="177">
        <v>70</v>
      </c>
      <c r="M281" s="177">
        <v>0.9</v>
      </c>
      <c r="N281" s="177">
        <v>12</v>
      </c>
      <c r="O281" s="177">
        <v>1200</v>
      </c>
      <c r="P281" s="177">
        <v>1200</v>
      </c>
      <c r="Q281" s="177">
        <v>14</v>
      </c>
      <c r="R281" s="177">
        <v>0.1</v>
      </c>
      <c r="S281" s="177">
        <v>300</v>
      </c>
      <c r="T281" s="177">
        <v>18</v>
      </c>
    </row>
    <row r="282" spans="2:20" s="176" customFormat="1" ht="18" customHeight="1" x14ac:dyDescent="0.3">
      <c r="B282" s="350" t="s">
        <v>226</v>
      </c>
      <c r="C282" s="350"/>
      <c r="D282" s="350"/>
      <c r="E282" s="350"/>
      <c r="F282" s="179">
        <f>F280/F281</f>
        <v>0.69211111111111112</v>
      </c>
      <c r="G282" s="179">
        <f t="shared" ref="G282:T282" si="67">G280/G281</f>
        <v>0.60956521739130431</v>
      </c>
      <c r="H282" s="179">
        <f t="shared" si="67"/>
        <v>0.71049608355091387</v>
      </c>
      <c r="I282" s="179">
        <f t="shared" si="67"/>
        <v>0.67668014705882362</v>
      </c>
      <c r="J282" s="179">
        <f t="shared" si="67"/>
        <v>0.65</v>
      </c>
      <c r="K282" s="179">
        <f t="shared" si="67"/>
        <v>0.63937500000000003</v>
      </c>
      <c r="L282" s="179">
        <f t="shared" si="67"/>
        <v>0.97185714285714286</v>
      </c>
      <c r="M282" s="179">
        <f t="shared" si="67"/>
        <v>0.65566666666666673</v>
      </c>
      <c r="N282" s="179">
        <f t="shared" si="67"/>
        <v>0.52958333333333341</v>
      </c>
      <c r="O282" s="179">
        <f t="shared" si="67"/>
        <v>0.34005000000000002</v>
      </c>
      <c r="P282" s="179">
        <f t="shared" si="67"/>
        <v>0.79376666666666662</v>
      </c>
      <c r="Q282" s="179">
        <f t="shared" si="67"/>
        <v>0.54614285714285715</v>
      </c>
      <c r="R282" s="179">
        <f t="shared" si="67"/>
        <v>0.24999999999999997</v>
      </c>
      <c r="S282" s="179">
        <f t="shared" si="67"/>
        <v>0.82143333333333335</v>
      </c>
      <c r="T282" s="179">
        <f t="shared" si="67"/>
        <v>0.78555555555555556</v>
      </c>
    </row>
    <row r="283" spans="2:20" s="176" customFormat="1" ht="18" customHeight="1" x14ac:dyDescent="0.3">
      <c r="B283" s="379" t="s">
        <v>259</v>
      </c>
      <c r="C283" s="379"/>
      <c r="D283" s="379"/>
      <c r="E283" s="379"/>
      <c r="F283" s="379"/>
      <c r="G283" s="379"/>
      <c r="H283" s="379"/>
      <c r="I283" s="379"/>
      <c r="J283" s="379"/>
      <c r="K283" s="177"/>
      <c r="L283" s="177"/>
      <c r="M283" s="372" t="s">
        <v>187</v>
      </c>
      <c r="N283" s="372"/>
      <c r="O283" s="372"/>
      <c r="P283" s="372"/>
      <c r="Q283" s="372"/>
      <c r="R283" s="372"/>
      <c r="S283" s="372"/>
      <c r="T283" s="372"/>
    </row>
    <row r="284" spans="2:20" s="176" customFormat="1" ht="18" customHeight="1" x14ac:dyDescent="0.3">
      <c r="B284" s="177"/>
      <c r="C284" s="177"/>
      <c r="D284" s="178"/>
      <c r="E284" s="178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</row>
    <row r="285" spans="2:20" s="176" customFormat="1" ht="18" customHeight="1" x14ac:dyDescent="0.3">
      <c r="B285" s="355" t="s">
        <v>317</v>
      </c>
      <c r="C285" s="355"/>
      <c r="D285" s="355"/>
      <c r="E285" s="355"/>
      <c r="F285" s="355"/>
      <c r="G285" s="355"/>
      <c r="H285" s="355"/>
      <c r="I285" s="355"/>
      <c r="J285" s="355"/>
      <c r="K285" s="355"/>
      <c r="L285" s="355"/>
      <c r="M285" s="355"/>
      <c r="N285" s="355"/>
      <c r="O285" s="355"/>
      <c r="P285" s="355"/>
      <c r="Q285" s="355"/>
      <c r="R285" s="355"/>
      <c r="S285" s="355"/>
      <c r="T285" s="355"/>
    </row>
    <row r="286" spans="2:20" s="176" customFormat="1" ht="18" customHeight="1" x14ac:dyDescent="0.3">
      <c r="B286" s="350" t="s">
        <v>189</v>
      </c>
      <c r="C286" s="350"/>
      <c r="D286" s="177"/>
      <c r="E286" s="177"/>
      <c r="F286" s="177"/>
      <c r="G286" s="372" t="s">
        <v>276</v>
      </c>
      <c r="H286" s="372"/>
      <c r="I286" s="372"/>
      <c r="J286" s="177"/>
      <c r="K286" s="177"/>
      <c r="L286" s="350" t="s">
        <v>191</v>
      </c>
      <c r="M286" s="350"/>
      <c r="N286" s="372" t="s">
        <v>192</v>
      </c>
      <c r="O286" s="372"/>
      <c r="P286" s="372"/>
      <c r="Q286" s="372"/>
      <c r="R286" s="177"/>
      <c r="S286" s="177"/>
      <c r="T286" s="177"/>
    </row>
    <row r="287" spans="2:20" s="176" customFormat="1" ht="18" customHeight="1" x14ac:dyDescent="0.3">
      <c r="B287" s="177"/>
      <c r="C287" s="177"/>
      <c r="D287" s="177"/>
      <c r="E287" s="355" t="s">
        <v>194</v>
      </c>
      <c r="F287" s="355"/>
      <c r="G287" s="177">
        <v>2</v>
      </c>
      <c r="H287" s="177"/>
      <c r="I287" s="177"/>
      <c r="J287" s="177"/>
      <c r="K287" s="177"/>
      <c r="L287" s="350" t="s">
        <v>195</v>
      </c>
      <c r="M287" s="350"/>
      <c r="N287" s="372" t="s">
        <v>347</v>
      </c>
      <c r="O287" s="372"/>
      <c r="P287" s="372"/>
      <c r="Q287" s="372"/>
      <c r="R287" s="372"/>
      <c r="S287" s="372"/>
      <c r="T287" s="372"/>
    </row>
    <row r="288" spans="2:20" s="176" customFormat="1" ht="18" customHeight="1" x14ac:dyDescent="0.3">
      <c r="B288" s="255" t="s">
        <v>0</v>
      </c>
      <c r="C288" s="378" t="s">
        <v>198</v>
      </c>
      <c r="D288" s="378"/>
      <c r="E288" s="378" t="s">
        <v>199</v>
      </c>
      <c r="F288" s="378" t="s">
        <v>200</v>
      </c>
      <c r="G288" s="378"/>
      <c r="H288" s="378"/>
      <c r="I288" s="255" t="s">
        <v>201</v>
      </c>
      <c r="J288" s="378" t="s">
        <v>202</v>
      </c>
      <c r="K288" s="378"/>
      <c r="L288" s="378"/>
      <c r="M288" s="378"/>
      <c r="N288" s="378"/>
      <c r="O288" s="378" t="s">
        <v>203</v>
      </c>
      <c r="P288" s="378"/>
      <c r="Q288" s="378"/>
      <c r="R288" s="378"/>
      <c r="S288" s="378"/>
      <c r="T288" s="378"/>
    </row>
    <row r="289" spans="2:20" s="176" customFormat="1" ht="18" customHeight="1" x14ac:dyDescent="0.3">
      <c r="B289" s="255" t="s">
        <v>245</v>
      </c>
      <c r="C289" s="378"/>
      <c r="D289" s="378"/>
      <c r="E289" s="378"/>
      <c r="F289" s="255" t="s">
        <v>204</v>
      </c>
      <c r="G289" s="255" t="s">
        <v>205</v>
      </c>
      <c r="H289" s="255" t="s">
        <v>206</v>
      </c>
      <c r="I289" s="255" t="s">
        <v>207</v>
      </c>
      <c r="J289" s="255" t="s">
        <v>208</v>
      </c>
      <c r="K289" s="255" t="s">
        <v>209</v>
      </c>
      <c r="L289" s="255" t="s">
        <v>210</v>
      </c>
      <c r="M289" s="255" t="s">
        <v>211</v>
      </c>
      <c r="N289" s="255" t="s">
        <v>212</v>
      </c>
      <c r="O289" s="255" t="s">
        <v>213</v>
      </c>
      <c r="P289" s="255" t="s">
        <v>214</v>
      </c>
      <c r="Q289" s="255" t="s">
        <v>215</v>
      </c>
      <c r="R289" s="255" t="s">
        <v>216</v>
      </c>
      <c r="S289" s="255" t="s">
        <v>217</v>
      </c>
      <c r="T289" s="255" t="s">
        <v>218</v>
      </c>
    </row>
    <row r="290" spans="2:20" s="176" customFormat="1" ht="18" customHeight="1" x14ac:dyDescent="0.3">
      <c r="B290" s="183">
        <v>1</v>
      </c>
      <c r="C290" s="373">
        <v>2</v>
      </c>
      <c r="D290" s="373"/>
      <c r="E290" s="183">
        <v>3</v>
      </c>
      <c r="F290" s="183">
        <v>4</v>
      </c>
      <c r="G290" s="183">
        <v>5</v>
      </c>
      <c r="H290" s="183">
        <v>6</v>
      </c>
      <c r="I290" s="183">
        <v>7</v>
      </c>
      <c r="J290" s="183">
        <v>8</v>
      </c>
      <c r="K290" s="183">
        <v>9</v>
      </c>
      <c r="L290" s="183">
        <v>10</v>
      </c>
      <c r="M290" s="183">
        <v>11</v>
      </c>
      <c r="N290" s="183">
        <v>12</v>
      </c>
      <c r="O290" s="183">
        <v>13</v>
      </c>
      <c r="P290" s="183">
        <v>14</v>
      </c>
      <c r="Q290" s="183">
        <v>15</v>
      </c>
      <c r="R290" s="183">
        <v>16</v>
      </c>
      <c r="S290" s="183">
        <v>17</v>
      </c>
      <c r="T290" s="183">
        <v>18</v>
      </c>
    </row>
    <row r="291" spans="2:20" s="176" customFormat="1" ht="18" customHeight="1" x14ac:dyDescent="0.3">
      <c r="B291" s="355" t="s">
        <v>246</v>
      </c>
      <c r="C291" s="355"/>
      <c r="D291" s="355"/>
      <c r="E291" s="355"/>
      <c r="F291" s="355"/>
      <c r="G291" s="355"/>
      <c r="H291" s="355"/>
      <c r="I291" s="355"/>
      <c r="J291" s="355"/>
      <c r="K291" s="355"/>
      <c r="L291" s="355"/>
      <c r="M291" s="355"/>
      <c r="N291" s="355"/>
      <c r="O291" s="355"/>
      <c r="P291" s="355"/>
      <c r="Q291" s="355"/>
      <c r="R291" s="355"/>
      <c r="S291" s="355"/>
      <c r="T291" s="355"/>
    </row>
    <row r="292" spans="2:20" s="176" customFormat="1" ht="18" customHeight="1" x14ac:dyDescent="0.3">
      <c r="B292" s="177" t="s">
        <v>318</v>
      </c>
      <c r="C292" s="364" t="s">
        <v>319</v>
      </c>
      <c r="D292" s="365"/>
      <c r="E292" s="177">
        <v>30</v>
      </c>
      <c r="F292" s="177">
        <v>0.56999999999999995</v>
      </c>
      <c r="G292" s="177">
        <v>2.67</v>
      </c>
      <c r="H292" s="177">
        <v>2.31</v>
      </c>
      <c r="I292" s="184">
        <v>35.700000000000003</v>
      </c>
      <c r="J292" s="177">
        <v>0.01</v>
      </c>
      <c r="K292" s="177">
        <v>0</v>
      </c>
      <c r="L292" s="177">
        <v>2.1</v>
      </c>
      <c r="M292" s="177">
        <v>0.01</v>
      </c>
      <c r="N292" s="177"/>
      <c r="O292" s="177">
        <v>12.3</v>
      </c>
      <c r="P292" s="177">
        <v>11.1</v>
      </c>
      <c r="Q292" s="177"/>
      <c r="R292" s="177">
        <v>0</v>
      </c>
      <c r="S292" s="177">
        <v>4.5</v>
      </c>
      <c r="T292" s="177">
        <v>0.21</v>
      </c>
    </row>
    <row r="293" spans="2:20" s="176" customFormat="1" ht="30" customHeight="1" x14ac:dyDescent="0.3">
      <c r="B293" s="184">
        <v>71</v>
      </c>
      <c r="C293" s="352" t="s">
        <v>247</v>
      </c>
      <c r="D293" s="352"/>
      <c r="E293" s="184">
        <v>40</v>
      </c>
      <c r="F293" s="184">
        <v>0.33</v>
      </c>
      <c r="G293" s="184">
        <v>0.04</v>
      </c>
      <c r="H293" s="184">
        <v>1.1299999999999999</v>
      </c>
      <c r="I293" s="184">
        <v>6.23</v>
      </c>
      <c r="J293" s="184">
        <v>8.9999999999999993E-3</v>
      </c>
      <c r="K293" s="184">
        <v>0.01</v>
      </c>
      <c r="L293" s="184">
        <v>3</v>
      </c>
      <c r="M293" s="184">
        <v>3.0000000000000001E-3</v>
      </c>
      <c r="N293" s="184">
        <v>0.03</v>
      </c>
      <c r="O293" s="184">
        <v>6.9</v>
      </c>
      <c r="P293" s="184">
        <v>12.6</v>
      </c>
      <c r="Q293" s="184">
        <v>6.4000000000000001E-2</v>
      </c>
      <c r="R293" s="184">
        <v>1E-3</v>
      </c>
      <c r="S293" s="184">
        <v>4.2</v>
      </c>
      <c r="T293" s="184">
        <v>0.18</v>
      </c>
    </row>
    <row r="294" spans="2:20" s="176" customFormat="1" ht="16.5" customHeight="1" x14ac:dyDescent="0.3">
      <c r="B294" s="177">
        <v>279</v>
      </c>
      <c r="C294" s="352" t="s">
        <v>354</v>
      </c>
      <c r="D294" s="352"/>
      <c r="E294" s="177" t="s">
        <v>321</v>
      </c>
      <c r="F294" s="177">
        <v>11.7</v>
      </c>
      <c r="G294" s="177">
        <v>14.1</v>
      </c>
      <c r="H294" s="177">
        <v>14.9</v>
      </c>
      <c r="I294" s="177">
        <v>233.4</v>
      </c>
      <c r="J294" s="177">
        <v>0.16</v>
      </c>
      <c r="K294" s="177">
        <v>0.13</v>
      </c>
      <c r="L294" s="177">
        <v>0.31</v>
      </c>
      <c r="M294" s="177">
        <v>8.9999999999999993E-3</v>
      </c>
      <c r="N294" s="177">
        <v>0.01</v>
      </c>
      <c r="O294" s="177">
        <v>12.65</v>
      </c>
      <c r="P294" s="177">
        <v>138.55000000000001</v>
      </c>
      <c r="Q294" s="177">
        <v>1.99</v>
      </c>
      <c r="R294" s="177">
        <v>0.03</v>
      </c>
      <c r="S294" s="177">
        <v>20.29</v>
      </c>
      <c r="T294" s="177">
        <v>1.73</v>
      </c>
    </row>
    <row r="295" spans="2:20" s="176" customFormat="1" ht="18" customHeight="1" x14ac:dyDescent="0.3">
      <c r="B295" s="177">
        <v>203</v>
      </c>
      <c r="C295" s="352" t="s">
        <v>233</v>
      </c>
      <c r="D295" s="352"/>
      <c r="E295" s="177">
        <v>180</v>
      </c>
      <c r="F295" s="177">
        <v>6.62</v>
      </c>
      <c r="G295" s="177">
        <v>5.42</v>
      </c>
      <c r="H295" s="177">
        <v>31.74</v>
      </c>
      <c r="I295" s="177">
        <v>202.3</v>
      </c>
      <c r="J295" s="177">
        <v>0.108</v>
      </c>
      <c r="K295" s="177">
        <v>3.5999999999999997E-2</v>
      </c>
      <c r="L295" s="177">
        <v>0</v>
      </c>
      <c r="M295" s="177">
        <v>3.5999999999999997E-2</v>
      </c>
      <c r="N295" s="177">
        <v>1.5</v>
      </c>
      <c r="O295" s="177">
        <v>15.94</v>
      </c>
      <c r="P295" s="177">
        <v>55.45</v>
      </c>
      <c r="Q295" s="177">
        <v>0.94</v>
      </c>
      <c r="R295" s="177">
        <v>2E-3</v>
      </c>
      <c r="S295" s="177">
        <v>10.16</v>
      </c>
      <c r="T295" s="177">
        <v>0.86</v>
      </c>
    </row>
    <row r="296" spans="2:20" s="176" customFormat="1" ht="18" customHeight="1" x14ac:dyDescent="0.3">
      <c r="B296" s="177">
        <v>338</v>
      </c>
      <c r="C296" s="352" t="s">
        <v>288</v>
      </c>
      <c r="D296" s="352"/>
      <c r="E296" s="177">
        <v>100</v>
      </c>
      <c r="F296" s="177">
        <v>0.4</v>
      </c>
      <c r="G296" s="177">
        <v>0.4</v>
      </c>
      <c r="H296" s="177">
        <v>9.8000000000000007</v>
      </c>
      <c r="I296" s="177">
        <v>44.4</v>
      </c>
      <c r="J296" s="177">
        <v>0.04</v>
      </c>
      <c r="K296" s="177">
        <v>0.02</v>
      </c>
      <c r="L296" s="177">
        <v>10</v>
      </c>
      <c r="M296" s="177">
        <v>0</v>
      </c>
      <c r="N296" s="177">
        <v>0.2</v>
      </c>
      <c r="O296" s="177">
        <v>16</v>
      </c>
      <c r="P296" s="177">
        <v>11</v>
      </c>
      <c r="Q296" s="177">
        <v>0</v>
      </c>
      <c r="R296" s="177">
        <v>0</v>
      </c>
      <c r="S296" s="177">
        <v>9</v>
      </c>
      <c r="T296" s="177">
        <v>2.2000000000000002</v>
      </c>
    </row>
    <row r="297" spans="2:20" s="176" customFormat="1" ht="18" customHeight="1" x14ac:dyDescent="0.3">
      <c r="B297" s="177">
        <v>381</v>
      </c>
      <c r="C297" s="352" t="s">
        <v>322</v>
      </c>
      <c r="D297" s="352"/>
      <c r="E297" s="177">
        <v>200</v>
      </c>
      <c r="F297" s="177"/>
      <c r="G297" s="177"/>
      <c r="H297" s="177">
        <v>19.96</v>
      </c>
      <c r="I297" s="177">
        <v>80</v>
      </c>
      <c r="J297" s="177"/>
      <c r="K297" s="177"/>
      <c r="L297" s="177"/>
      <c r="M297" s="177"/>
      <c r="N297" s="177">
        <v>0</v>
      </c>
      <c r="O297" s="177">
        <v>0.4</v>
      </c>
      <c r="P297" s="177"/>
      <c r="Q297" s="177">
        <v>0</v>
      </c>
      <c r="R297" s="177"/>
      <c r="S297" s="177"/>
      <c r="T297" s="177">
        <v>0.06</v>
      </c>
    </row>
    <row r="298" spans="2:20" s="176" customFormat="1" ht="18" customHeight="1" x14ac:dyDescent="0.3">
      <c r="B298" s="177" t="s">
        <v>224</v>
      </c>
      <c r="C298" s="352" t="s">
        <v>161</v>
      </c>
      <c r="D298" s="352"/>
      <c r="E298" s="177">
        <v>40</v>
      </c>
      <c r="F298" s="177">
        <v>3.04</v>
      </c>
      <c r="G298" s="177">
        <v>0.32</v>
      </c>
      <c r="H298" s="177">
        <v>19.68</v>
      </c>
      <c r="I298" s="177">
        <v>94</v>
      </c>
      <c r="J298" s="177">
        <v>0.04</v>
      </c>
      <c r="K298" s="177">
        <v>0.01</v>
      </c>
      <c r="L298" s="177">
        <v>0.88</v>
      </c>
      <c r="M298" s="177">
        <v>0</v>
      </c>
      <c r="N298" s="177">
        <v>0.7</v>
      </c>
      <c r="O298" s="177">
        <v>8</v>
      </c>
      <c r="P298" s="177">
        <v>26</v>
      </c>
      <c r="Q298" s="177">
        <v>8.0000000000000002E-3</v>
      </c>
      <c r="R298" s="177">
        <v>3.0000000000000001E-3</v>
      </c>
      <c r="S298" s="177">
        <v>0</v>
      </c>
      <c r="T298" s="177">
        <v>0.44</v>
      </c>
    </row>
    <row r="299" spans="2:20" s="176" customFormat="1" ht="18" customHeight="1" x14ac:dyDescent="0.3">
      <c r="B299" s="356" t="s">
        <v>251</v>
      </c>
      <c r="C299" s="357"/>
      <c r="D299" s="358"/>
      <c r="E299" s="178">
        <f>E293+100+E295+E296+E297+E298</f>
        <v>660</v>
      </c>
      <c r="F299" s="178">
        <f>SUM(F293:F298)</f>
        <v>22.089999999999996</v>
      </c>
      <c r="G299" s="178">
        <f t="shared" ref="G299:T299" si="68">SUM(G293:G298)</f>
        <v>20.279999999999998</v>
      </c>
      <c r="H299" s="178">
        <f t="shared" si="68"/>
        <v>97.210000000000008</v>
      </c>
      <c r="I299" s="178">
        <f t="shared" si="68"/>
        <v>660.32999999999993</v>
      </c>
      <c r="J299" s="178">
        <f t="shared" si="68"/>
        <v>0.35699999999999998</v>
      </c>
      <c r="K299" s="178">
        <f t="shared" si="68"/>
        <v>0.20600000000000002</v>
      </c>
      <c r="L299" s="178">
        <f t="shared" si="68"/>
        <v>14.190000000000001</v>
      </c>
      <c r="M299" s="178">
        <f t="shared" si="68"/>
        <v>4.8000000000000001E-2</v>
      </c>
      <c r="N299" s="178">
        <f t="shared" si="68"/>
        <v>2.44</v>
      </c>
      <c r="O299" s="178">
        <f t="shared" si="68"/>
        <v>59.89</v>
      </c>
      <c r="P299" s="178">
        <f t="shared" si="68"/>
        <v>243.60000000000002</v>
      </c>
      <c r="Q299" s="178">
        <f t="shared" si="68"/>
        <v>3.0019999999999998</v>
      </c>
      <c r="R299" s="178">
        <f t="shared" si="68"/>
        <v>3.6000000000000004E-2</v>
      </c>
      <c r="S299" s="178">
        <f t="shared" si="68"/>
        <v>43.65</v>
      </c>
      <c r="T299" s="178">
        <f t="shared" si="68"/>
        <v>5.4700000000000006</v>
      </c>
    </row>
    <row r="300" spans="2:20" s="176" customFormat="1" ht="18" customHeight="1" x14ac:dyDescent="0.3">
      <c r="B300" s="350" t="s">
        <v>226</v>
      </c>
      <c r="C300" s="350"/>
      <c r="D300" s="350"/>
      <c r="E300" s="350"/>
      <c r="F300" s="179">
        <f>F299/F317</f>
        <v>0.24544444444444441</v>
      </c>
      <c r="G300" s="179">
        <f t="shared" ref="G300:T300" si="69">G299/G317</f>
        <v>0.22043478260869562</v>
      </c>
      <c r="H300" s="179">
        <f t="shared" si="69"/>
        <v>0.25381201044386426</v>
      </c>
      <c r="I300" s="179">
        <f t="shared" si="69"/>
        <v>0.24276838235294115</v>
      </c>
      <c r="J300" s="179">
        <f t="shared" si="69"/>
        <v>0.255</v>
      </c>
      <c r="K300" s="179">
        <f t="shared" si="69"/>
        <v>0.12875</v>
      </c>
      <c r="L300" s="179">
        <f t="shared" si="69"/>
        <v>0.20271428571428574</v>
      </c>
      <c r="M300" s="179">
        <f t="shared" si="69"/>
        <v>5.333333333333333E-2</v>
      </c>
      <c r="N300" s="179">
        <f t="shared" si="69"/>
        <v>0.20333333333333334</v>
      </c>
      <c r="O300" s="179">
        <f t="shared" si="69"/>
        <v>4.9908333333333332E-2</v>
      </c>
      <c r="P300" s="179">
        <f t="shared" si="69"/>
        <v>0.20300000000000001</v>
      </c>
      <c r="Q300" s="179">
        <f t="shared" si="69"/>
        <v>0.21442857142857141</v>
      </c>
      <c r="R300" s="179">
        <f t="shared" si="69"/>
        <v>0.36000000000000004</v>
      </c>
      <c r="S300" s="179">
        <f t="shared" si="69"/>
        <v>0.14549999999999999</v>
      </c>
      <c r="T300" s="179">
        <f t="shared" si="69"/>
        <v>0.30388888888888893</v>
      </c>
    </row>
    <row r="301" spans="2:20" s="176" customFormat="1" ht="18" customHeight="1" x14ac:dyDescent="0.3">
      <c r="B301" s="355" t="s">
        <v>227</v>
      </c>
      <c r="C301" s="355"/>
      <c r="D301" s="355"/>
      <c r="E301" s="355"/>
      <c r="F301" s="355"/>
      <c r="G301" s="355"/>
      <c r="H301" s="355"/>
      <c r="I301" s="355"/>
      <c r="J301" s="355"/>
      <c r="K301" s="355"/>
      <c r="L301" s="355"/>
      <c r="M301" s="355"/>
      <c r="N301" s="355"/>
      <c r="O301" s="355"/>
      <c r="P301" s="355"/>
      <c r="Q301" s="355"/>
      <c r="R301" s="355"/>
      <c r="S301" s="355"/>
      <c r="T301" s="355"/>
    </row>
    <row r="302" spans="2:20" s="176" customFormat="1" ht="28.5" customHeight="1" x14ac:dyDescent="0.3">
      <c r="B302" s="177">
        <v>52</v>
      </c>
      <c r="C302" s="352" t="s">
        <v>252</v>
      </c>
      <c r="D302" s="352"/>
      <c r="E302" s="177">
        <v>100</v>
      </c>
      <c r="F302" s="177">
        <v>1.43</v>
      </c>
      <c r="G302" s="177">
        <v>5.08</v>
      </c>
      <c r="H302" s="177">
        <v>8.5500000000000007</v>
      </c>
      <c r="I302" s="177">
        <v>85.68</v>
      </c>
      <c r="J302" s="177">
        <v>0.02</v>
      </c>
      <c r="K302" s="177">
        <v>0.03</v>
      </c>
      <c r="L302" s="177">
        <v>9.5</v>
      </c>
      <c r="M302" s="177">
        <v>0.02</v>
      </c>
      <c r="N302" s="177">
        <v>0.17</v>
      </c>
      <c r="O302" s="177">
        <v>44.35</v>
      </c>
      <c r="P302" s="177">
        <v>42.73</v>
      </c>
      <c r="Q302" s="177">
        <v>0.72</v>
      </c>
      <c r="R302" s="177">
        <v>1.7000000000000001E-2</v>
      </c>
      <c r="S302" s="177">
        <v>21.5</v>
      </c>
      <c r="T302" s="177">
        <v>1.4</v>
      </c>
    </row>
    <row r="303" spans="2:20" s="176" customFormat="1" ht="18" customHeight="1" x14ac:dyDescent="0.3">
      <c r="B303" s="177">
        <v>124</v>
      </c>
      <c r="C303" s="352" t="s">
        <v>323</v>
      </c>
      <c r="D303" s="352"/>
      <c r="E303" s="177">
        <v>250</v>
      </c>
      <c r="F303" s="177">
        <v>1.75</v>
      </c>
      <c r="G303" s="177">
        <v>5.63</v>
      </c>
      <c r="H303" s="177">
        <v>8.5</v>
      </c>
      <c r="I303" s="177">
        <v>95</v>
      </c>
      <c r="J303" s="177">
        <v>0.05</v>
      </c>
      <c r="K303" s="177">
        <v>0.05</v>
      </c>
      <c r="L303" s="177">
        <v>12</v>
      </c>
      <c r="M303" s="177">
        <v>0.05</v>
      </c>
      <c r="N303" s="177"/>
      <c r="O303" s="177">
        <v>31.8</v>
      </c>
      <c r="P303" s="177">
        <v>0</v>
      </c>
      <c r="Q303" s="177"/>
      <c r="R303" s="177">
        <v>0</v>
      </c>
      <c r="S303" s="177">
        <v>19.100000000000001</v>
      </c>
      <c r="T303" s="177">
        <v>0.7</v>
      </c>
    </row>
    <row r="304" spans="2:20" s="176" customFormat="1" ht="18" customHeight="1" x14ac:dyDescent="0.3">
      <c r="B304" s="177">
        <v>232</v>
      </c>
      <c r="C304" s="352" t="s">
        <v>324</v>
      </c>
      <c r="D304" s="352"/>
      <c r="E304" s="177">
        <v>100</v>
      </c>
      <c r="F304" s="177">
        <v>22.21</v>
      </c>
      <c r="G304" s="177">
        <v>11.65</v>
      </c>
      <c r="H304" s="177">
        <v>2.99</v>
      </c>
      <c r="I304" s="177">
        <v>205.7</v>
      </c>
      <c r="J304" s="177">
        <v>0.23</v>
      </c>
      <c r="K304" s="177">
        <v>0.19</v>
      </c>
      <c r="L304" s="177">
        <v>1.1000000000000001</v>
      </c>
      <c r="M304" s="177">
        <v>0.03</v>
      </c>
      <c r="N304" s="177">
        <v>0.125</v>
      </c>
      <c r="O304" s="177">
        <v>41.7</v>
      </c>
      <c r="P304" s="177">
        <v>12.6</v>
      </c>
      <c r="Q304" s="177">
        <v>0.3</v>
      </c>
      <c r="R304" s="177">
        <v>1.0999999999999999E-2</v>
      </c>
      <c r="S304" s="177">
        <v>23.03</v>
      </c>
      <c r="T304" s="177">
        <v>0.79</v>
      </c>
    </row>
    <row r="305" spans="2:20" s="176" customFormat="1" ht="27" customHeight="1" x14ac:dyDescent="0.3">
      <c r="B305" s="177">
        <v>312</v>
      </c>
      <c r="C305" s="352" t="s">
        <v>256</v>
      </c>
      <c r="D305" s="352"/>
      <c r="E305" s="177">
        <v>180</v>
      </c>
      <c r="F305" s="177">
        <v>3.95</v>
      </c>
      <c r="G305" s="177">
        <v>8.4700000000000006</v>
      </c>
      <c r="H305" s="177">
        <v>26.65</v>
      </c>
      <c r="I305" s="177">
        <v>198.65</v>
      </c>
      <c r="J305" s="177">
        <v>0.19</v>
      </c>
      <c r="K305" s="177">
        <v>0.16</v>
      </c>
      <c r="L305" s="177">
        <v>31.33</v>
      </c>
      <c r="M305" s="177">
        <v>9.6000000000000002E-2</v>
      </c>
      <c r="N305" s="177">
        <v>1.8</v>
      </c>
      <c r="O305" s="177">
        <v>51.05</v>
      </c>
      <c r="P305" s="177">
        <v>117.3</v>
      </c>
      <c r="Q305" s="177">
        <v>0.35899999999999999</v>
      </c>
      <c r="R305" s="177">
        <v>1E-3</v>
      </c>
      <c r="S305" s="177">
        <v>39.67</v>
      </c>
      <c r="T305" s="177">
        <v>1.43</v>
      </c>
    </row>
    <row r="306" spans="2:20" s="176" customFormat="1" ht="18" customHeight="1" x14ac:dyDescent="0.3">
      <c r="B306" s="173">
        <v>376</v>
      </c>
      <c r="C306" s="359" t="s">
        <v>141</v>
      </c>
      <c r="D306" s="359"/>
      <c r="E306" s="173">
        <v>200</v>
      </c>
      <c r="F306" s="173">
        <v>0.2</v>
      </c>
      <c r="G306" s="173">
        <v>0.05</v>
      </c>
      <c r="H306" s="173">
        <v>15.01</v>
      </c>
      <c r="I306" s="173">
        <v>61</v>
      </c>
      <c r="J306" s="173">
        <v>0</v>
      </c>
      <c r="K306" s="173">
        <v>0.01</v>
      </c>
      <c r="L306" s="173">
        <v>9</v>
      </c>
      <c r="M306" s="173">
        <v>1E-4</v>
      </c>
      <c r="N306" s="173">
        <v>4.4999999999999998E-2</v>
      </c>
      <c r="O306" s="173">
        <v>5.25</v>
      </c>
      <c r="P306" s="173">
        <v>8.24</v>
      </c>
      <c r="Q306" s="173">
        <v>8.0000000000000002E-3</v>
      </c>
      <c r="R306" s="173">
        <v>0</v>
      </c>
      <c r="S306" s="173">
        <v>4.4000000000000004</v>
      </c>
      <c r="T306" s="173">
        <v>0.87</v>
      </c>
    </row>
    <row r="307" spans="2:20" s="176" customFormat="1" ht="18" customHeight="1" x14ac:dyDescent="0.3">
      <c r="B307" s="177" t="s">
        <v>224</v>
      </c>
      <c r="C307" s="352" t="s">
        <v>235</v>
      </c>
      <c r="D307" s="352"/>
      <c r="E307" s="177">
        <v>40</v>
      </c>
      <c r="F307" s="177">
        <v>2.64</v>
      </c>
      <c r="G307" s="177">
        <v>0.48</v>
      </c>
      <c r="H307" s="177">
        <v>13.68</v>
      </c>
      <c r="I307" s="177">
        <v>69.599999999999994</v>
      </c>
      <c r="J307" s="177">
        <v>0.08</v>
      </c>
      <c r="K307" s="177">
        <v>0.04</v>
      </c>
      <c r="L307" s="177">
        <v>0</v>
      </c>
      <c r="M307" s="177">
        <v>0</v>
      </c>
      <c r="N307" s="177">
        <v>2.4</v>
      </c>
      <c r="O307" s="177">
        <v>14</v>
      </c>
      <c r="P307" s="177">
        <v>63.2</v>
      </c>
      <c r="Q307" s="177">
        <v>1.2</v>
      </c>
      <c r="R307" s="177">
        <v>1E-3</v>
      </c>
      <c r="S307" s="177">
        <v>9.4</v>
      </c>
      <c r="T307" s="177">
        <v>0.78</v>
      </c>
    </row>
    <row r="308" spans="2:20" s="176" customFormat="1" ht="18" customHeight="1" x14ac:dyDescent="0.3">
      <c r="B308" s="177" t="s">
        <v>224</v>
      </c>
      <c r="C308" s="352" t="s">
        <v>117</v>
      </c>
      <c r="D308" s="352"/>
      <c r="E308" s="177">
        <v>30</v>
      </c>
      <c r="F308" s="177">
        <v>1.52</v>
      </c>
      <c r="G308" s="177">
        <v>0.16</v>
      </c>
      <c r="H308" s="177">
        <v>9.84</v>
      </c>
      <c r="I308" s="177">
        <v>46.9</v>
      </c>
      <c r="J308" s="177">
        <v>0.02</v>
      </c>
      <c r="K308" s="177">
        <v>0.01</v>
      </c>
      <c r="L308" s="177">
        <v>0.44</v>
      </c>
      <c r="M308" s="177">
        <v>0</v>
      </c>
      <c r="N308" s="177">
        <v>0.7</v>
      </c>
      <c r="O308" s="177">
        <v>4</v>
      </c>
      <c r="P308" s="177">
        <v>13</v>
      </c>
      <c r="Q308" s="177">
        <v>8.0000000000000002E-3</v>
      </c>
      <c r="R308" s="177">
        <v>1E-3</v>
      </c>
      <c r="S308" s="177">
        <v>0</v>
      </c>
      <c r="T308" s="177">
        <v>0.22</v>
      </c>
    </row>
    <row r="309" spans="2:20" s="176" customFormat="1" ht="28.5" customHeight="1" x14ac:dyDescent="0.3">
      <c r="B309" s="350" t="s">
        <v>236</v>
      </c>
      <c r="C309" s="350"/>
      <c r="D309" s="350"/>
      <c r="E309" s="178">
        <f>SUM(E302:E308)</f>
        <v>900</v>
      </c>
      <c r="F309" s="178">
        <f t="shared" ref="F309:T309" si="70">SUM(F302:F308)</f>
        <v>33.700000000000003</v>
      </c>
      <c r="G309" s="178">
        <f t="shared" si="70"/>
        <v>31.52</v>
      </c>
      <c r="H309" s="178">
        <f t="shared" si="70"/>
        <v>85.22</v>
      </c>
      <c r="I309" s="178">
        <f t="shared" si="70"/>
        <v>762.53</v>
      </c>
      <c r="J309" s="178">
        <f t="shared" si="70"/>
        <v>0.59000000000000008</v>
      </c>
      <c r="K309" s="178">
        <f t="shared" si="70"/>
        <v>0.49000000000000005</v>
      </c>
      <c r="L309" s="178">
        <f t="shared" si="70"/>
        <v>63.37</v>
      </c>
      <c r="M309" s="178">
        <f t="shared" si="70"/>
        <v>0.1961</v>
      </c>
      <c r="N309" s="178">
        <f t="shared" si="70"/>
        <v>5.24</v>
      </c>
      <c r="O309" s="178">
        <f t="shared" si="70"/>
        <v>192.15</v>
      </c>
      <c r="P309" s="178">
        <f t="shared" si="70"/>
        <v>257.07</v>
      </c>
      <c r="Q309" s="178">
        <f t="shared" si="70"/>
        <v>2.5949999999999998</v>
      </c>
      <c r="R309" s="178">
        <f t="shared" si="70"/>
        <v>3.1000000000000003E-2</v>
      </c>
      <c r="S309" s="178">
        <f t="shared" si="70"/>
        <v>117.10000000000002</v>
      </c>
      <c r="T309" s="178">
        <f t="shared" si="70"/>
        <v>6.1899999999999995</v>
      </c>
    </row>
    <row r="310" spans="2:20" s="176" customFormat="1" ht="18" customHeight="1" x14ac:dyDescent="0.3">
      <c r="B310" s="350" t="s">
        <v>226</v>
      </c>
      <c r="C310" s="350"/>
      <c r="D310" s="350"/>
      <c r="E310" s="350"/>
      <c r="F310" s="179">
        <f>F309/F317</f>
        <v>0.37444444444444447</v>
      </c>
      <c r="G310" s="179">
        <f t="shared" ref="G310:T310" si="71">G309/G317</f>
        <v>0.34260869565217389</v>
      </c>
      <c r="H310" s="179">
        <f t="shared" si="71"/>
        <v>0.2225065274151436</v>
      </c>
      <c r="I310" s="179">
        <f t="shared" si="71"/>
        <v>0.28034191176470585</v>
      </c>
      <c r="J310" s="179">
        <f t="shared" si="71"/>
        <v>0.42142857142857149</v>
      </c>
      <c r="K310" s="179">
        <f t="shared" si="71"/>
        <v>0.30625000000000002</v>
      </c>
      <c r="L310" s="179">
        <f t="shared" si="71"/>
        <v>0.90528571428571425</v>
      </c>
      <c r="M310" s="179">
        <f t="shared" si="71"/>
        <v>0.21788888888888888</v>
      </c>
      <c r="N310" s="179">
        <f t="shared" si="71"/>
        <v>0.4366666666666667</v>
      </c>
      <c r="O310" s="179">
        <f t="shared" si="71"/>
        <v>0.16012500000000002</v>
      </c>
      <c r="P310" s="179">
        <f t="shared" si="71"/>
        <v>0.214225</v>
      </c>
      <c r="Q310" s="179">
        <f t="shared" si="71"/>
        <v>0.18535714285714283</v>
      </c>
      <c r="R310" s="179">
        <f t="shared" si="71"/>
        <v>0.31</v>
      </c>
      <c r="S310" s="179">
        <f t="shared" si="71"/>
        <v>0.39033333333333342</v>
      </c>
      <c r="T310" s="179">
        <f t="shared" si="71"/>
        <v>0.34388888888888886</v>
      </c>
    </row>
    <row r="311" spans="2:20" s="176" customFormat="1" ht="18" customHeight="1" x14ac:dyDescent="0.3">
      <c r="B311" s="355" t="s">
        <v>237</v>
      </c>
      <c r="C311" s="355"/>
      <c r="D311" s="355"/>
      <c r="E311" s="355"/>
      <c r="F311" s="355"/>
      <c r="G311" s="355"/>
      <c r="H311" s="355"/>
      <c r="I311" s="355"/>
      <c r="J311" s="355"/>
      <c r="K311" s="355"/>
      <c r="L311" s="355"/>
      <c r="M311" s="355"/>
      <c r="N311" s="355"/>
      <c r="O311" s="355"/>
      <c r="P311" s="355"/>
      <c r="Q311" s="355"/>
      <c r="R311" s="355"/>
      <c r="S311" s="355"/>
      <c r="T311" s="355"/>
    </row>
    <row r="312" spans="2:20" s="176" customFormat="1" ht="18" customHeight="1" x14ac:dyDescent="0.3">
      <c r="B312" s="177" t="s">
        <v>224</v>
      </c>
      <c r="C312" s="352" t="s">
        <v>282</v>
      </c>
      <c r="D312" s="352"/>
      <c r="E312" s="177">
        <v>65</v>
      </c>
      <c r="F312" s="177">
        <v>4.16</v>
      </c>
      <c r="G312" s="177">
        <v>8.14</v>
      </c>
      <c r="H312" s="177">
        <v>33.799999999999997</v>
      </c>
      <c r="I312" s="177">
        <v>225.34</v>
      </c>
      <c r="J312" s="177">
        <v>0.06</v>
      </c>
      <c r="K312" s="177">
        <v>0.05</v>
      </c>
      <c r="L312" s="177">
        <v>0</v>
      </c>
      <c r="M312" s="177">
        <v>0.06</v>
      </c>
      <c r="N312" s="177"/>
      <c r="O312" s="177">
        <v>11.26</v>
      </c>
      <c r="P312" s="177">
        <v>0</v>
      </c>
      <c r="Q312" s="177"/>
      <c r="R312" s="177">
        <v>0</v>
      </c>
      <c r="S312" s="177">
        <v>0</v>
      </c>
      <c r="T312" s="177">
        <v>0.6</v>
      </c>
    </row>
    <row r="313" spans="2:20" s="176" customFormat="1" ht="18" customHeight="1" x14ac:dyDescent="0.3">
      <c r="B313" s="177">
        <v>648</v>
      </c>
      <c r="C313" s="352" t="s">
        <v>294</v>
      </c>
      <c r="D313" s="352"/>
      <c r="E313" s="177">
        <v>200</v>
      </c>
      <c r="F313" s="177">
        <v>0</v>
      </c>
      <c r="G313" s="177">
        <v>0</v>
      </c>
      <c r="H313" s="177">
        <v>20</v>
      </c>
      <c r="I313" s="177">
        <v>76</v>
      </c>
      <c r="J313" s="177">
        <v>0</v>
      </c>
      <c r="K313" s="177">
        <v>0</v>
      </c>
      <c r="L313" s="177">
        <v>0</v>
      </c>
      <c r="M313" s="177">
        <v>0</v>
      </c>
      <c r="N313" s="177"/>
      <c r="O313" s="177">
        <v>0.48</v>
      </c>
      <c r="P313" s="177">
        <v>0</v>
      </c>
      <c r="Q313" s="177">
        <v>0</v>
      </c>
      <c r="R313" s="177">
        <v>0</v>
      </c>
      <c r="S313" s="177">
        <v>0</v>
      </c>
      <c r="T313" s="177">
        <v>0.06</v>
      </c>
    </row>
    <row r="314" spans="2:20" s="176" customFormat="1" ht="18" customHeight="1" x14ac:dyDescent="0.3">
      <c r="B314" s="356" t="s">
        <v>240</v>
      </c>
      <c r="C314" s="357"/>
      <c r="D314" s="358"/>
      <c r="E314" s="178">
        <f>SUM(E312:E313)</f>
        <v>265</v>
      </c>
      <c r="F314" s="178">
        <f t="shared" ref="F314:T314" si="72">SUM(F312:F313)</f>
        <v>4.16</v>
      </c>
      <c r="G314" s="178">
        <f t="shared" si="72"/>
        <v>8.14</v>
      </c>
      <c r="H314" s="178">
        <f t="shared" si="72"/>
        <v>53.8</v>
      </c>
      <c r="I314" s="178">
        <f t="shared" si="72"/>
        <v>301.34000000000003</v>
      </c>
      <c r="J314" s="178">
        <f t="shared" si="72"/>
        <v>0.06</v>
      </c>
      <c r="K314" s="178">
        <f t="shared" si="72"/>
        <v>0.05</v>
      </c>
      <c r="L314" s="178">
        <f t="shared" si="72"/>
        <v>0</v>
      </c>
      <c r="M314" s="178">
        <f t="shared" si="72"/>
        <v>0.06</v>
      </c>
      <c r="N314" s="178">
        <f t="shared" si="72"/>
        <v>0</v>
      </c>
      <c r="O314" s="178">
        <f t="shared" si="72"/>
        <v>11.74</v>
      </c>
      <c r="P314" s="178">
        <f t="shared" si="72"/>
        <v>0</v>
      </c>
      <c r="Q314" s="178">
        <f t="shared" si="72"/>
        <v>0</v>
      </c>
      <c r="R314" s="178">
        <f t="shared" si="72"/>
        <v>0</v>
      </c>
      <c r="S314" s="178">
        <f t="shared" si="72"/>
        <v>0</v>
      </c>
      <c r="T314" s="178">
        <f t="shared" si="72"/>
        <v>0.65999999999999992</v>
      </c>
    </row>
    <row r="315" spans="2:20" s="176" customFormat="1" ht="18" customHeight="1" x14ac:dyDescent="0.3">
      <c r="B315" s="350" t="s">
        <v>226</v>
      </c>
      <c r="C315" s="350"/>
      <c r="D315" s="350"/>
      <c r="E315" s="350"/>
      <c r="F315" s="179">
        <f>F314/F317</f>
        <v>4.6222222222222227E-2</v>
      </c>
      <c r="G315" s="179">
        <f t="shared" ref="G315:T315" si="73">G314/G317</f>
        <v>8.8478260869565228E-2</v>
      </c>
      <c r="H315" s="179">
        <f t="shared" si="73"/>
        <v>0.14046997389033941</v>
      </c>
      <c r="I315" s="179">
        <f t="shared" si="73"/>
        <v>0.11078676470588236</v>
      </c>
      <c r="J315" s="179">
        <f t="shared" si="73"/>
        <v>4.2857142857142858E-2</v>
      </c>
      <c r="K315" s="179">
        <f t="shared" si="73"/>
        <v>3.125E-2</v>
      </c>
      <c r="L315" s="179">
        <f t="shared" si="73"/>
        <v>0</v>
      </c>
      <c r="M315" s="179">
        <f t="shared" si="73"/>
        <v>6.6666666666666666E-2</v>
      </c>
      <c r="N315" s="179">
        <f t="shared" si="73"/>
        <v>0</v>
      </c>
      <c r="O315" s="179">
        <f t="shared" si="73"/>
        <v>9.7833333333333331E-3</v>
      </c>
      <c r="P315" s="179">
        <f t="shared" si="73"/>
        <v>0</v>
      </c>
      <c r="Q315" s="179">
        <f t="shared" si="73"/>
        <v>0</v>
      </c>
      <c r="R315" s="179">
        <f t="shared" si="73"/>
        <v>0</v>
      </c>
      <c r="S315" s="179">
        <f t="shared" si="73"/>
        <v>0</v>
      </c>
      <c r="T315" s="179">
        <f t="shared" si="73"/>
        <v>3.666666666666666E-2</v>
      </c>
    </row>
    <row r="316" spans="2:20" s="176" customFormat="1" ht="18" customHeight="1" x14ac:dyDescent="0.3">
      <c r="B316" s="350" t="s">
        <v>241</v>
      </c>
      <c r="C316" s="350"/>
      <c r="D316" s="350"/>
      <c r="E316" s="350"/>
      <c r="F316" s="178">
        <f>F314+F309+F299</f>
        <v>59.949999999999996</v>
      </c>
      <c r="G316" s="178">
        <f t="shared" ref="G316:T316" si="74">G314+G309+G299</f>
        <v>59.94</v>
      </c>
      <c r="H316" s="178">
        <f t="shared" si="74"/>
        <v>236.23</v>
      </c>
      <c r="I316" s="178">
        <f t="shared" si="74"/>
        <v>1724.1999999999998</v>
      </c>
      <c r="J316" s="178">
        <f t="shared" si="74"/>
        <v>1.0070000000000001</v>
      </c>
      <c r="K316" s="178">
        <f t="shared" si="74"/>
        <v>0.746</v>
      </c>
      <c r="L316" s="178">
        <f t="shared" si="74"/>
        <v>77.56</v>
      </c>
      <c r="M316" s="178">
        <f t="shared" si="74"/>
        <v>0.30409999999999998</v>
      </c>
      <c r="N316" s="178">
        <f t="shared" si="74"/>
        <v>7.68</v>
      </c>
      <c r="O316" s="178">
        <f t="shared" si="74"/>
        <v>263.78000000000003</v>
      </c>
      <c r="P316" s="178">
        <f t="shared" si="74"/>
        <v>500.67</v>
      </c>
      <c r="Q316" s="178">
        <f t="shared" si="74"/>
        <v>5.5969999999999995</v>
      </c>
      <c r="R316" s="178">
        <f t="shared" si="74"/>
        <v>6.7000000000000004E-2</v>
      </c>
      <c r="S316" s="178">
        <f t="shared" si="74"/>
        <v>160.75000000000003</v>
      </c>
      <c r="T316" s="178">
        <f t="shared" si="74"/>
        <v>12.32</v>
      </c>
    </row>
    <row r="317" spans="2:20" s="176" customFormat="1" ht="18" customHeight="1" x14ac:dyDescent="0.3">
      <c r="B317" s="350" t="s">
        <v>242</v>
      </c>
      <c r="C317" s="350"/>
      <c r="D317" s="350"/>
      <c r="E317" s="350"/>
      <c r="F317" s="177">
        <v>90</v>
      </c>
      <c r="G317" s="177">
        <v>92</v>
      </c>
      <c r="H317" s="177">
        <v>383</v>
      </c>
      <c r="I317" s="177">
        <v>2720</v>
      </c>
      <c r="J317" s="177">
        <v>1.4</v>
      </c>
      <c r="K317" s="177">
        <v>1.6</v>
      </c>
      <c r="L317" s="177">
        <v>70</v>
      </c>
      <c r="M317" s="177">
        <v>0.9</v>
      </c>
      <c r="N317" s="177">
        <v>12</v>
      </c>
      <c r="O317" s="177">
        <v>1200</v>
      </c>
      <c r="P317" s="177">
        <v>1200</v>
      </c>
      <c r="Q317" s="177">
        <v>14</v>
      </c>
      <c r="R317" s="177">
        <v>0.1</v>
      </c>
      <c r="S317" s="177">
        <v>300</v>
      </c>
      <c r="T317" s="177">
        <v>18</v>
      </c>
    </row>
    <row r="318" spans="2:20" s="176" customFormat="1" ht="18" customHeight="1" x14ac:dyDescent="0.3">
      <c r="B318" s="350" t="s">
        <v>226</v>
      </c>
      <c r="C318" s="350"/>
      <c r="D318" s="350"/>
      <c r="E318" s="350"/>
      <c r="F318" s="179">
        <f>F316/F317</f>
        <v>0.6661111111111111</v>
      </c>
      <c r="G318" s="179">
        <f t="shared" ref="G318:T318" si="75">G316/G317</f>
        <v>0.65152173913043476</v>
      </c>
      <c r="H318" s="179">
        <f t="shared" si="75"/>
        <v>0.61678851174934723</v>
      </c>
      <c r="I318" s="179">
        <f t="shared" si="75"/>
        <v>0.63389705882352931</v>
      </c>
      <c r="J318" s="179">
        <f t="shared" si="75"/>
        <v>0.71928571428571442</v>
      </c>
      <c r="K318" s="179">
        <f t="shared" si="75"/>
        <v>0.46625</v>
      </c>
      <c r="L318" s="179">
        <f t="shared" si="75"/>
        <v>1.1080000000000001</v>
      </c>
      <c r="M318" s="179">
        <f t="shared" si="75"/>
        <v>0.33788888888888885</v>
      </c>
      <c r="N318" s="179">
        <f t="shared" si="75"/>
        <v>0.64</v>
      </c>
      <c r="O318" s="179">
        <f t="shared" si="75"/>
        <v>0.21981666666666669</v>
      </c>
      <c r="P318" s="179">
        <f t="shared" si="75"/>
        <v>0.41722500000000001</v>
      </c>
      <c r="Q318" s="179">
        <f t="shared" si="75"/>
        <v>0.39978571428571424</v>
      </c>
      <c r="R318" s="179">
        <f t="shared" si="75"/>
        <v>0.67</v>
      </c>
      <c r="S318" s="179">
        <f t="shared" si="75"/>
        <v>0.53583333333333338</v>
      </c>
      <c r="T318" s="179">
        <f t="shared" si="75"/>
        <v>0.68444444444444441</v>
      </c>
    </row>
    <row r="319" spans="2:20" s="176" customFormat="1" ht="18" customHeight="1" x14ac:dyDescent="0.3">
      <c r="B319" s="253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372" t="s">
        <v>187</v>
      </c>
      <c r="N319" s="372"/>
      <c r="O319" s="372"/>
      <c r="P319" s="372"/>
      <c r="Q319" s="372"/>
      <c r="R319" s="372"/>
      <c r="S319" s="372"/>
      <c r="T319" s="372"/>
    </row>
    <row r="320" spans="2:20" s="176" customFormat="1" ht="18" customHeight="1" x14ac:dyDescent="0.3">
      <c r="B320" s="355" t="s">
        <v>325</v>
      </c>
      <c r="C320" s="355"/>
      <c r="D320" s="355"/>
      <c r="E320" s="355"/>
      <c r="F320" s="355"/>
      <c r="G320" s="355"/>
      <c r="H320" s="355"/>
      <c r="I320" s="355"/>
      <c r="J320" s="355"/>
      <c r="K320" s="355"/>
      <c r="L320" s="355"/>
      <c r="M320" s="355"/>
      <c r="N320" s="355"/>
      <c r="O320" s="355"/>
      <c r="P320" s="355"/>
      <c r="Q320" s="355"/>
      <c r="R320" s="355"/>
      <c r="S320" s="355"/>
      <c r="T320" s="355"/>
    </row>
    <row r="321" spans="2:20" s="176" customFormat="1" ht="18" customHeight="1" x14ac:dyDescent="0.3">
      <c r="B321" s="350" t="s">
        <v>189</v>
      </c>
      <c r="C321" s="350"/>
      <c r="D321" s="177"/>
      <c r="E321" s="177"/>
      <c r="F321" s="177"/>
      <c r="G321" s="372" t="s">
        <v>285</v>
      </c>
      <c r="H321" s="372"/>
      <c r="I321" s="372"/>
      <c r="J321" s="177"/>
      <c r="K321" s="177"/>
      <c r="L321" s="350" t="s">
        <v>191</v>
      </c>
      <c r="M321" s="350"/>
      <c r="N321" s="372" t="s">
        <v>192</v>
      </c>
      <c r="O321" s="372"/>
      <c r="P321" s="372"/>
      <c r="Q321" s="372"/>
      <c r="R321" s="177"/>
      <c r="S321" s="177"/>
      <c r="T321" s="177"/>
    </row>
    <row r="322" spans="2:20" s="176" customFormat="1" ht="18" customHeight="1" x14ac:dyDescent="0.3">
      <c r="B322" s="177"/>
      <c r="C322" s="177"/>
      <c r="D322" s="177"/>
      <c r="E322" s="355" t="s">
        <v>194</v>
      </c>
      <c r="F322" s="355"/>
      <c r="G322" s="177">
        <v>2</v>
      </c>
      <c r="H322" s="177"/>
      <c r="I322" s="177"/>
      <c r="J322" s="177"/>
      <c r="K322" s="177"/>
      <c r="L322" s="350" t="s">
        <v>195</v>
      </c>
      <c r="M322" s="350"/>
      <c r="N322" s="372" t="s">
        <v>347</v>
      </c>
      <c r="O322" s="372"/>
      <c r="P322" s="372"/>
      <c r="Q322" s="372"/>
      <c r="R322" s="372"/>
      <c r="S322" s="372"/>
      <c r="T322" s="372"/>
    </row>
    <row r="323" spans="2:20" s="176" customFormat="1" ht="18" customHeight="1" x14ac:dyDescent="0.3">
      <c r="B323" s="255" t="s">
        <v>0</v>
      </c>
      <c r="C323" s="378" t="s">
        <v>198</v>
      </c>
      <c r="D323" s="378"/>
      <c r="E323" s="378" t="s">
        <v>199</v>
      </c>
      <c r="F323" s="378" t="s">
        <v>200</v>
      </c>
      <c r="G323" s="378"/>
      <c r="H323" s="378"/>
      <c r="I323" s="255" t="s">
        <v>201</v>
      </c>
      <c r="J323" s="378" t="s">
        <v>202</v>
      </c>
      <c r="K323" s="378"/>
      <c r="L323" s="378"/>
      <c r="M323" s="378"/>
      <c r="N323" s="378"/>
      <c r="O323" s="378" t="s">
        <v>203</v>
      </c>
      <c r="P323" s="378"/>
      <c r="Q323" s="378"/>
      <c r="R323" s="378"/>
      <c r="S323" s="378"/>
      <c r="T323" s="378"/>
    </row>
    <row r="324" spans="2:20" s="176" customFormat="1" ht="18" customHeight="1" x14ac:dyDescent="0.3">
      <c r="B324" s="255" t="s">
        <v>245</v>
      </c>
      <c r="C324" s="378"/>
      <c r="D324" s="378"/>
      <c r="E324" s="378"/>
      <c r="F324" s="255" t="s">
        <v>204</v>
      </c>
      <c r="G324" s="255" t="s">
        <v>205</v>
      </c>
      <c r="H324" s="255" t="s">
        <v>206</v>
      </c>
      <c r="I324" s="255" t="s">
        <v>207</v>
      </c>
      <c r="J324" s="255" t="s">
        <v>208</v>
      </c>
      <c r="K324" s="255" t="s">
        <v>209</v>
      </c>
      <c r="L324" s="255" t="s">
        <v>210</v>
      </c>
      <c r="M324" s="255" t="s">
        <v>211</v>
      </c>
      <c r="N324" s="255" t="s">
        <v>212</v>
      </c>
      <c r="O324" s="255" t="s">
        <v>213</v>
      </c>
      <c r="P324" s="255" t="s">
        <v>214</v>
      </c>
      <c r="Q324" s="255" t="s">
        <v>215</v>
      </c>
      <c r="R324" s="255" t="s">
        <v>216</v>
      </c>
      <c r="S324" s="255" t="s">
        <v>217</v>
      </c>
      <c r="T324" s="255" t="s">
        <v>218</v>
      </c>
    </row>
    <row r="325" spans="2:20" s="176" customFormat="1" ht="18" customHeight="1" x14ac:dyDescent="0.3">
      <c r="B325" s="183">
        <v>1</v>
      </c>
      <c r="C325" s="373">
        <v>2</v>
      </c>
      <c r="D325" s="373"/>
      <c r="E325" s="183">
        <v>3</v>
      </c>
      <c r="F325" s="183">
        <v>4</v>
      </c>
      <c r="G325" s="183">
        <v>5</v>
      </c>
      <c r="H325" s="183">
        <v>6</v>
      </c>
      <c r="I325" s="183">
        <v>7</v>
      </c>
      <c r="J325" s="183">
        <v>8</v>
      </c>
      <c r="K325" s="183">
        <v>9</v>
      </c>
      <c r="L325" s="183">
        <v>10</v>
      </c>
      <c r="M325" s="183">
        <v>11</v>
      </c>
      <c r="N325" s="183">
        <v>12</v>
      </c>
      <c r="O325" s="183">
        <v>13</v>
      </c>
      <c r="P325" s="183">
        <v>14</v>
      </c>
      <c r="Q325" s="183">
        <v>15</v>
      </c>
      <c r="R325" s="183">
        <v>16</v>
      </c>
      <c r="S325" s="183">
        <v>17</v>
      </c>
      <c r="T325" s="183">
        <v>18</v>
      </c>
    </row>
    <row r="326" spans="2:20" s="176" customFormat="1" ht="18" customHeight="1" x14ac:dyDescent="0.3">
      <c r="B326" s="355" t="s">
        <v>219</v>
      </c>
      <c r="C326" s="355"/>
      <c r="D326" s="355"/>
      <c r="E326" s="355"/>
      <c r="F326" s="355"/>
      <c r="G326" s="355"/>
      <c r="H326" s="355"/>
      <c r="I326" s="355"/>
      <c r="J326" s="355"/>
      <c r="K326" s="355"/>
      <c r="L326" s="355"/>
      <c r="M326" s="355"/>
      <c r="N326" s="355"/>
      <c r="O326" s="355"/>
      <c r="P326" s="355"/>
      <c r="Q326" s="355"/>
      <c r="R326" s="355"/>
      <c r="S326" s="355"/>
      <c r="T326" s="355"/>
    </row>
    <row r="327" spans="2:20" s="176" customFormat="1" ht="30.75" customHeight="1" x14ac:dyDescent="0.3">
      <c r="B327" s="240" t="s">
        <v>340</v>
      </c>
      <c r="C327" s="351" t="s">
        <v>339</v>
      </c>
      <c r="D327" s="351"/>
      <c r="E327" s="177">
        <v>40</v>
      </c>
      <c r="F327" s="241">
        <v>1.1200000000000001</v>
      </c>
      <c r="G327" s="241">
        <v>0</v>
      </c>
      <c r="H327" s="241">
        <v>0.52</v>
      </c>
      <c r="I327" s="240">
        <v>6.44</v>
      </c>
      <c r="J327" s="241">
        <v>0</v>
      </c>
      <c r="K327" s="241">
        <v>0</v>
      </c>
      <c r="L327" s="241">
        <v>0</v>
      </c>
      <c r="M327" s="241">
        <v>0</v>
      </c>
      <c r="N327" s="241">
        <v>0</v>
      </c>
      <c r="O327" s="241">
        <v>0</v>
      </c>
      <c r="P327" s="241">
        <v>0</v>
      </c>
      <c r="Q327" s="241">
        <v>0</v>
      </c>
      <c r="R327" s="241">
        <v>0</v>
      </c>
      <c r="S327" s="241">
        <v>0</v>
      </c>
      <c r="T327" s="241">
        <v>0</v>
      </c>
    </row>
    <row r="328" spans="2:20" s="176" customFormat="1" ht="25.5" customHeight="1" x14ac:dyDescent="0.3">
      <c r="B328" s="184">
        <v>71</v>
      </c>
      <c r="C328" s="352" t="s">
        <v>338</v>
      </c>
      <c r="D328" s="352"/>
      <c r="E328" s="184">
        <v>40</v>
      </c>
      <c r="F328" s="184">
        <v>0.33</v>
      </c>
      <c r="G328" s="184">
        <v>0.04</v>
      </c>
      <c r="H328" s="184">
        <v>1.1299999999999999</v>
      </c>
      <c r="I328" s="184">
        <v>6.23</v>
      </c>
      <c r="J328" s="184">
        <v>8.9999999999999993E-3</v>
      </c>
      <c r="K328" s="184">
        <v>0.01</v>
      </c>
      <c r="L328" s="184">
        <v>3</v>
      </c>
      <c r="M328" s="184">
        <v>3.0000000000000001E-3</v>
      </c>
      <c r="N328" s="184">
        <v>0.03</v>
      </c>
      <c r="O328" s="184">
        <v>6.9</v>
      </c>
      <c r="P328" s="184">
        <v>12.6</v>
      </c>
      <c r="Q328" s="184">
        <v>6.4000000000000001E-2</v>
      </c>
      <c r="R328" s="184">
        <v>1E-3</v>
      </c>
      <c r="S328" s="184">
        <v>4.2</v>
      </c>
      <c r="T328" s="184">
        <v>0.18</v>
      </c>
    </row>
    <row r="329" spans="2:20" s="176" customFormat="1" ht="25.5" customHeight="1" x14ac:dyDescent="0.3">
      <c r="B329" s="177">
        <v>15</v>
      </c>
      <c r="C329" s="352" t="s">
        <v>221</v>
      </c>
      <c r="D329" s="352"/>
      <c r="E329" s="177">
        <v>20</v>
      </c>
      <c r="F329" s="177">
        <v>4.6399999999999997</v>
      </c>
      <c r="G329" s="177">
        <v>6.8</v>
      </c>
      <c r="H329" s="177">
        <v>0.02</v>
      </c>
      <c r="I329" s="177">
        <v>79.8</v>
      </c>
      <c r="J329" s="177">
        <v>0.01</v>
      </c>
      <c r="K329" s="177">
        <v>0.06</v>
      </c>
      <c r="L329" s="177">
        <v>0.14000000000000001</v>
      </c>
      <c r="M329" s="177">
        <v>4.5999999999999999E-2</v>
      </c>
      <c r="N329" s="177">
        <v>0.1</v>
      </c>
      <c r="O329" s="177">
        <v>176</v>
      </c>
      <c r="P329" s="177">
        <v>100</v>
      </c>
      <c r="Q329" s="177">
        <v>0.8</v>
      </c>
      <c r="R329" s="177">
        <v>0.04</v>
      </c>
      <c r="S329" s="177">
        <v>7</v>
      </c>
      <c r="T329" s="177">
        <v>0.26</v>
      </c>
    </row>
    <row r="330" spans="2:20" s="176" customFormat="1" ht="18" customHeight="1" x14ac:dyDescent="0.3">
      <c r="B330" s="241">
        <v>210</v>
      </c>
      <c r="C330" s="351" t="s">
        <v>287</v>
      </c>
      <c r="D330" s="351"/>
      <c r="E330" s="241">
        <v>250</v>
      </c>
      <c r="F330" s="241">
        <v>23.23</v>
      </c>
      <c r="G330" s="241">
        <v>41.38</v>
      </c>
      <c r="H330" s="241">
        <v>4.4000000000000004</v>
      </c>
      <c r="I330" s="241">
        <v>482.75</v>
      </c>
      <c r="J330" s="241">
        <v>0.18</v>
      </c>
      <c r="K330" s="241">
        <v>0.85</v>
      </c>
      <c r="L330" s="241">
        <v>0.43</v>
      </c>
      <c r="M330" s="241">
        <v>0.18</v>
      </c>
      <c r="N330" s="241"/>
      <c r="O330" s="241">
        <v>171.8</v>
      </c>
      <c r="P330" s="241">
        <v>376.3</v>
      </c>
      <c r="Q330" s="241"/>
      <c r="R330" s="241">
        <v>0</v>
      </c>
      <c r="S330" s="241">
        <v>26.9</v>
      </c>
      <c r="T330" s="241">
        <v>4.4000000000000004</v>
      </c>
    </row>
    <row r="331" spans="2:20" s="176" customFormat="1" ht="18" customHeight="1" x14ac:dyDescent="0.3">
      <c r="B331" s="177">
        <v>376</v>
      </c>
      <c r="C331" s="352" t="s">
        <v>141</v>
      </c>
      <c r="D331" s="352"/>
      <c r="E331" s="177">
        <v>200</v>
      </c>
      <c r="F331" s="177">
        <v>0.2</v>
      </c>
      <c r="G331" s="177">
        <v>0.05</v>
      </c>
      <c r="H331" s="177">
        <v>15.01</v>
      </c>
      <c r="I331" s="177">
        <v>61</v>
      </c>
      <c r="J331" s="177">
        <v>0</v>
      </c>
      <c r="K331" s="177">
        <v>0.01</v>
      </c>
      <c r="L331" s="177">
        <v>9</v>
      </c>
      <c r="M331" s="177">
        <v>1E-4</v>
      </c>
      <c r="N331" s="177">
        <v>4.4999999999999998E-2</v>
      </c>
      <c r="O331" s="177">
        <v>5.25</v>
      </c>
      <c r="P331" s="177">
        <v>8.24</v>
      </c>
      <c r="Q331" s="177">
        <v>8.0000000000000002E-3</v>
      </c>
      <c r="R331" s="177">
        <v>0</v>
      </c>
      <c r="S331" s="177">
        <v>4.4000000000000004</v>
      </c>
      <c r="T331" s="177">
        <v>0.87</v>
      </c>
    </row>
    <row r="332" spans="2:20" s="176" customFormat="1" ht="18" customHeight="1" x14ac:dyDescent="0.3">
      <c r="B332" s="177" t="s">
        <v>224</v>
      </c>
      <c r="C332" s="352" t="s">
        <v>302</v>
      </c>
      <c r="D332" s="352"/>
      <c r="E332" s="177">
        <v>40</v>
      </c>
      <c r="F332" s="177">
        <v>2.67</v>
      </c>
      <c r="G332" s="177">
        <v>0.53</v>
      </c>
      <c r="H332" s="177">
        <v>13.73</v>
      </c>
      <c r="I332" s="177">
        <v>70.400000000000006</v>
      </c>
      <c r="J332" s="177">
        <v>0.13</v>
      </c>
      <c r="K332" s="177">
        <v>1.2999999999999999E-2</v>
      </c>
      <c r="L332" s="177">
        <v>0.1</v>
      </c>
      <c r="M332" s="177">
        <v>0</v>
      </c>
      <c r="N332" s="177">
        <v>0.93</v>
      </c>
      <c r="O332" s="177">
        <v>14</v>
      </c>
      <c r="P332" s="177">
        <v>63.2</v>
      </c>
      <c r="Q332" s="177">
        <v>1.2999999999999999E-2</v>
      </c>
      <c r="R332" s="177">
        <v>1.2999999999999999E-2</v>
      </c>
      <c r="S332" s="177">
        <v>18.8</v>
      </c>
      <c r="T332" s="177">
        <v>1.6</v>
      </c>
    </row>
    <row r="333" spans="2:20" s="176" customFormat="1" ht="18" customHeight="1" x14ac:dyDescent="0.3">
      <c r="B333" s="350" t="s">
        <v>225</v>
      </c>
      <c r="C333" s="350"/>
      <c r="D333" s="350"/>
      <c r="E333" s="178">
        <f>SUM(E328:E332)</f>
        <v>550</v>
      </c>
      <c r="F333" s="178">
        <f t="shared" ref="F333:T333" si="76">SUM(F328:F332)</f>
        <v>31.07</v>
      </c>
      <c r="G333" s="178">
        <f t="shared" si="76"/>
        <v>48.8</v>
      </c>
      <c r="H333" s="178">
        <f t="shared" si="76"/>
        <v>34.290000000000006</v>
      </c>
      <c r="I333" s="178">
        <f t="shared" si="76"/>
        <v>700.18</v>
      </c>
      <c r="J333" s="178">
        <f t="shared" si="76"/>
        <v>0.32899999999999996</v>
      </c>
      <c r="K333" s="178">
        <f t="shared" si="76"/>
        <v>0.94299999999999995</v>
      </c>
      <c r="L333" s="178">
        <f t="shared" si="76"/>
        <v>12.67</v>
      </c>
      <c r="M333" s="178">
        <f t="shared" si="76"/>
        <v>0.22909999999999997</v>
      </c>
      <c r="N333" s="178">
        <f t="shared" si="76"/>
        <v>1.105</v>
      </c>
      <c r="O333" s="178">
        <f t="shared" si="76"/>
        <v>373.95000000000005</v>
      </c>
      <c r="P333" s="178">
        <f t="shared" si="76"/>
        <v>560.34</v>
      </c>
      <c r="Q333" s="178">
        <f t="shared" si="76"/>
        <v>0.88500000000000012</v>
      </c>
      <c r="R333" s="178">
        <f t="shared" si="76"/>
        <v>5.3999999999999999E-2</v>
      </c>
      <c r="S333" s="178">
        <f t="shared" si="76"/>
        <v>61.3</v>
      </c>
      <c r="T333" s="178">
        <f t="shared" si="76"/>
        <v>7.3100000000000005</v>
      </c>
    </row>
    <row r="334" spans="2:20" s="176" customFormat="1" ht="18" customHeight="1" x14ac:dyDescent="0.3">
      <c r="B334" s="350" t="s">
        <v>226</v>
      </c>
      <c r="C334" s="350"/>
      <c r="D334" s="350"/>
      <c r="E334" s="350"/>
      <c r="F334" s="179">
        <f t="shared" ref="F334:T334" si="77">F333/F351</f>
        <v>0.34522222222222221</v>
      </c>
      <c r="G334" s="179">
        <f t="shared" si="77"/>
        <v>0.53043478260869559</v>
      </c>
      <c r="H334" s="179">
        <f t="shared" si="77"/>
        <v>8.9530026109660585E-2</v>
      </c>
      <c r="I334" s="179">
        <f t="shared" si="77"/>
        <v>0.25741911764705883</v>
      </c>
      <c r="J334" s="179">
        <f t="shared" si="77"/>
        <v>0.23499999999999999</v>
      </c>
      <c r="K334" s="179">
        <f t="shared" si="77"/>
        <v>0.58937499999999998</v>
      </c>
      <c r="L334" s="179">
        <f t="shared" si="77"/>
        <v>0.18099999999999999</v>
      </c>
      <c r="M334" s="179">
        <f t="shared" si="77"/>
        <v>0.25455555555555553</v>
      </c>
      <c r="N334" s="179">
        <f t="shared" si="77"/>
        <v>9.2083333333333336E-2</v>
      </c>
      <c r="O334" s="179">
        <f t="shared" si="77"/>
        <v>0.31162500000000004</v>
      </c>
      <c r="P334" s="179">
        <f t="shared" si="77"/>
        <v>0.46695000000000003</v>
      </c>
      <c r="Q334" s="179">
        <f t="shared" si="77"/>
        <v>6.3214285714285723E-2</v>
      </c>
      <c r="R334" s="179">
        <f t="shared" si="77"/>
        <v>0.53999999999999992</v>
      </c>
      <c r="S334" s="179">
        <f t="shared" si="77"/>
        <v>0.20433333333333331</v>
      </c>
      <c r="T334" s="179">
        <f t="shared" si="77"/>
        <v>0.40611111111111114</v>
      </c>
    </row>
    <row r="335" spans="2:20" s="176" customFormat="1" ht="18" customHeight="1" x14ac:dyDescent="0.3">
      <c r="B335" s="355" t="s">
        <v>227</v>
      </c>
      <c r="C335" s="355"/>
      <c r="D335" s="355"/>
      <c r="E335" s="355"/>
      <c r="F335" s="355"/>
      <c r="G335" s="355"/>
      <c r="H335" s="355"/>
      <c r="I335" s="355"/>
      <c r="J335" s="355"/>
      <c r="K335" s="355"/>
      <c r="L335" s="355"/>
      <c r="M335" s="355"/>
      <c r="N335" s="355"/>
      <c r="O335" s="355"/>
      <c r="P335" s="355"/>
      <c r="Q335" s="355"/>
      <c r="R335" s="355"/>
      <c r="S335" s="355"/>
      <c r="T335" s="355"/>
    </row>
    <row r="336" spans="2:20" s="176" customFormat="1" ht="18" customHeight="1" x14ac:dyDescent="0.3">
      <c r="B336" s="173">
        <v>115</v>
      </c>
      <c r="C336" s="359" t="s">
        <v>279</v>
      </c>
      <c r="D336" s="359"/>
      <c r="E336" s="177">
        <v>100</v>
      </c>
      <c r="F336" s="177">
        <v>1.9</v>
      </c>
      <c r="G336" s="177">
        <v>8.9</v>
      </c>
      <c r="H336" s="177">
        <v>7.7</v>
      </c>
      <c r="I336" s="177">
        <v>119</v>
      </c>
      <c r="J336" s="177">
        <v>0.02</v>
      </c>
      <c r="K336" s="177">
        <v>0</v>
      </c>
      <c r="L336" s="177">
        <v>7</v>
      </c>
      <c r="M336" s="177">
        <v>0.02</v>
      </c>
      <c r="N336" s="177"/>
      <c r="O336" s="177">
        <v>41</v>
      </c>
      <c r="P336" s="177">
        <v>37</v>
      </c>
      <c r="Q336" s="177"/>
      <c r="R336" s="177">
        <v>0</v>
      </c>
      <c r="S336" s="177">
        <v>15</v>
      </c>
      <c r="T336" s="177">
        <v>0.7</v>
      </c>
    </row>
    <row r="337" spans="2:20" s="176" customFormat="1" ht="16.5" customHeight="1" x14ac:dyDescent="0.3">
      <c r="B337" s="177">
        <v>103</v>
      </c>
      <c r="C337" s="352" t="s">
        <v>326</v>
      </c>
      <c r="D337" s="352"/>
      <c r="E337" s="177">
        <v>250</v>
      </c>
      <c r="F337" s="177">
        <v>12.4</v>
      </c>
      <c r="G337" s="177">
        <v>11.1</v>
      </c>
      <c r="H337" s="177">
        <v>31.5</v>
      </c>
      <c r="I337" s="177">
        <v>275.60000000000002</v>
      </c>
      <c r="J337" s="177">
        <v>0.3</v>
      </c>
      <c r="K337" s="177">
        <v>0.1</v>
      </c>
      <c r="L337" s="177">
        <v>8.3000000000000007</v>
      </c>
      <c r="M337" s="177">
        <v>0.03</v>
      </c>
      <c r="N337" s="177">
        <v>0</v>
      </c>
      <c r="O337" s="177">
        <v>49.3</v>
      </c>
      <c r="P337" s="177">
        <v>93.3</v>
      </c>
      <c r="Q337" s="177">
        <v>0</v>
      </c>
      <c r="R337" s="177">
        <v>0</v>
      </c>
      <c r="S337" s="177">
        <v>27.3</v>
      </c>
      <c r="T337" s="177">
        <v>0.3</v>
      </c>
    </row>
    <row r="338" spans="2:20" s="176" customFormat="1" ht="23.25" customHeight="1" x14ac:dyDescent="0.3">
      <c r="B338" s="177">
        <v>295</v>
      </c>
      <c r="C338" s="359" t="s">
        <v>291</v>
      </c>
      <c r="D338" s="359"/>
      <c r="E338" s="177">
        <v>100</v>
      </c>
      <c r="F338" s="177">
        <v>15.24</v>
      </c>
      <c r="G338" s="177">
        <v>5.8</v>
      </c>
      <c r="H338" s="177">
        <v>10.16</v>
      </c>
      <c r="I338" s="177">
        <v>153.80000000000001</v>
      </c>
      <c r="J338" s="177">
        <v>0.09</v>
      </c>
      <c r="K338" s="177">
        <v>0.08</v>
      </c>
      <c r="L338" s="177">
        <v>0.24</v>
      </c>
      <c r="M338" s="177">
        <v>1E-3</v>
      </c>
      <c r="N338" s="177">
        <v>7.3999999999999996E-2</v>
      </c>
      <c r="O338" s="177">
        <v>14.03</v>
      </c>
      <c r="P338" s="177">
        <v>93.98</v>
      </c>
      <c r="Q338" s="177">
        <v>1.17</v>
      </c>
      <c r="R338" s="177">
        <v>0.04</v>
      </c>
      <c r="S338" s="177">
        <v>16.239999999999998</v>
      </c>
      <c r="T338" s="177">
        <v>1.89</v>
      </c>
    </row>
    <row r="339" spans="2:20" s="176" customFormat="1" ht="28.5" customHeight="1" x14ac:dyDescent="0.3">
      <c r="B339" s="177">
        <v>173</v>
      </c>
      <c r="C339" s="352" t="s">
        <v>327</v>
      </c>
      <c r="D339" s="352"/>
      <c r="E339" s="177">
        <v>180</v>
      </c>
      <c r="F339" s="177">
        <v>7.88</v>
      </c>
      <c r="G339" s="177">
        <v>5.03</v>
      </c>
      <c r="H339" s="177">
        <v>38.78</v>
      </c>
      <c r="I339" s="177">
        <v>231.92</v>
      </c>
      <c r="J339" s="177">
        <v>7.0000000000000007E-2</v>
      </c>
      <c r="K339" s="177">
        <v>0.04</v>
      </c>
      <c r="L339" s="177">
        <v>0</v>
      </c>
      <c r="M339" s="177">
        <v>0.04</v>
      </c>
      <c r="N339" s="177">
        <v>3.06</v>
      </c>
      <c r="O339" s="177">
        <v>21.74</v>
      </c>
      <c r="P339" s="177">
        <v>188.44</v>
      </c>
      <c r="Q339" s="177">
        <v>1.07</v>
      </c>
      <c r="R339" s="177">
        <v>1.6999999999999999E-3</v>
      </c>
      <c r="S339" s="177">
        <v>125.34</v>
      </c>
      <c r="T339" s="177">
        <v>4.26</v>
      </c>
    </row>
    <row r="340" spans="2:20" s="176" customFormat="1" ht="18" customHeight="1" x14ac:dyDescent="0.3">
      <c r="B340" s="177">
        <v>389</v>
      </c>
      <c r="C340" s="352" t="s">
        <v>283</v>
      </c>
      <c r="D340" s="352"/>
      <c r="E340" s="177">
        <v>200</v>
      </c>
      <c r="F340" s="177">
        <v>1</v>
      </c>
      <c r="G340" s="177">
        <v>0.2</v>
      </c>
      <c r="H340" s="177">
        <v>20.2</v>
      </c>
      <c r="I340" s="177">
        <v>87</v>
      </c>
      <c r="J340" s="177">
        <v>0</v>
      </c>
      <c r="K340" s="177">
        <v>0.08</v>
      </c>
      <c r="L340" s="177">
        <v>4</v>
      </c>
      <c r="M340" s="177">
        <v>0</v>
      </c>
      <c r="N340" s="177">
        <v>0</v>
      </c>
      <c r="O340" s="177">
        <v>31.1</v>
      </c>
      <c r="P340" s="177">
        <v>18</v>
      </c>
      <c r="Q340" s="177">
        <v>0</v>
      </c>
      <c r="R340" s="177">
        <v>0</v>
      </c>
      <c r="S340" s="177">
        <v>8</v>
      </c>
      <c r="T340" s="177">
        <v>0.72</v>
      </c>
    </row>
    <row r="341" spans="2:20" s="176" customFormat="1" ht="18" customHeight="1" x14ac:dyDescent="0.3">
      <c r="B341" s="177" t="s">
        <v>224</v>
      </c>
      <c r="C341" s="352" t="s">
        <v>235</v>
      </c>
      <c r="D341" s="352"/>
      <c r="E341" s="177">
        <v>40</v>
      </c>
      <c r="F341" s="177">
        <v>2.64</v>
      </c>
      <c r="G341" s="177">
        <v>0.48</v>
      </c>
      <c r="H341" s="177">
        <v>13.68</v>
      </c>
      <c r="I341" s="177">
        <v>69.599999999999994</v>
      </c>
      <c r="J341" s="177">
        <v>0.08</v>
      </c>
      <c r="K341" s="177">
        <v>0.04</v>
      </c>
      <c r="L341" s="177">
        <v>0</v>
      </c>
      <c r="M341" s="177">
        <v>0</v>
      </c>
      <c r="N341" s="177">
        <v>2.4</v>
      </c>
      <c r="O341" s="177">
        <v>14</v>
      </c>
      <c r="P341" s="177">
        <v>63.2</v>
      </c>
      <c r="Q341" s="177">
        <v>1.2</v>
      </c>
      <c r="R341" s="177">
        <v>1E-3</v>
      </c>
      <c r="S341" s="177">
        <v>9.4</v>
      </c>
      <c r="T341" s="177">
        <v>0.78</v>
      </c>
    </row>
    <row r="342" spans="2:20" s="176" customFormat="1" ht="18" customHeight="1" x14ac:dyDescent="0.3">
      <c r="B342" s="177" t="s">
        <v>224</v>
      </c>
      <c r="C342" s="352" t="s">
        <v>117</v>
      </c>
      <c r="D342" s="352"/>
      <c r="E342" s="177">
        <v>30</v>
      </c>
      <c r="F342" s="177">
        <v>1.52</v>
      </c>
      <c r="G342" s="177">
        <v>0.16</v>
      </c>
      <c r="H342" s="177">
        <v>9.84</v>
      </c>
      <c r="I342" s="177">
        <v>46.9</v>
      </c>
      <c r="J342" s="177">
        <v>0.02</v>
      </c>
      <c r="K342" s="177">
        <v>0.01</v>
      </c>
      <c r="L342" s="177">
        <v>0.44</v>
      </c>
      <c r="M342" s="177">
        <v>0</v>
      </c>
      <c r="N342" s="177">
        <v>0.7</v>
      </c>
      <c r="O342" s="177">
        <v>4</v>
      </c>
      <c r="P342" s="177">
        <v>13</v>
      </c>
      <c r="Q342" s="177">
        <v>8.0000000000000002E-3</v>
      </c>
      <c r="R342" s="177">
        <v>1E-3</v>
      </c>
      <c r="S342" s="177">
        <v>0</v>
      </c>
      <c r="T342" s="177">
        <v>0.22</v>
      </c>
    </row>
    <row r="343" spans="2:20" s="176" customFormat="1" ht="27" customHeight="1" x14ac:dyDescent="0.3">
      <c r="B343" s="375" t="s">
        <v>236</v>
      </c>
      <c r="C343" s="376"/>
      <c r="D343" s="377"/>
      <c r="E343" s="178">
        <f>SUM(E336:E342)</f>
        <v>900</v>
      </c>
      <c r="F343" s="178">
        <f t="shared" ref="F343:T343" si="78">SUM(F336:F342)</f>
        <v>42.580000000000005</v>
      </c>
      <c r="G343" s="178">
        <f t="shared" si="78"/>
        <v>31.67</v>
      </c>
      <c r="H343" s="178">
        <f t="shared" si="78"/>
        <v>131.86000000000001</v>
      </c>
      <c r="I343" s="178">
        <f t="shared" si="78"/>
        <v>983.82</v>
      </c>
      <c r="J343" s="178">
        <f t="shared" si="78"/>
        <v>0.58000000000000007</v>
      </c>
      <c r="K343" s="178">
        <f t="shared" si="78"/>
        <v>0.35</v>
      </c>
      <c r="L343" s="178">
        <f t="shared" si="78"/>
        <v>19.98</v>
      </c>
      <c r="M343" s="178">
        <f t="shared" si="78"/>
        <v>9.0999999999999998E-2</v>
      </c>
      <c r="N343" s="178">
        <f t="shared" si="78"/>
        <v>6.234</v>
      </c>
      <c r="O343" s="178">
        <f t="shared" si="78"/>
        <v>175.17</v>
      </c>
      <c r="P343" s="178">
        <f t="shared" si="78"/>
        <v>506.92</v>
      </c>
      <c r="Q343" s="178">
        <f t="shared" si="78"/>
        <v>3.4480000000000004</v>
      </c>
      <c r="R343" s="178">
        <f t="shared" si="78"/>
        <v>4.3700000000000003E-2</v>
      </c>
      <c r="S343" s="178">
        <f t="shared" si="78"/>
        <v>201.28</v>
      </c>
      <c r="T343" s="178">
        <f t="shared" si="78"/>
        <v>8.8699999999999992</v>
      </c>
    </row>
    <row r="344" spans="2:20" s="176" customFormat="1" ht="18" customHeight="1" x14ac:dyDescent="0.3">
      <c r="B344" s="350" t="s">
        <v>226</v>
      </c>
      <c r="C344" s="350"/>
      <c r="D344" s="350"/>
      <c r="E344" s="350"/>
      <c r="F344" s="179">
        <f>F343/F351</f>
        <v>0.47311111111111115</v>
      </c>
      <c r="G344" s="179">
        <f t="shared" ref="G344:T344" si="79">G343/G351</f>
        <v>0.3442391304347826</v>
      </c>
      <c r="H344" s="179">
        <f t="shared" si="79"/>
        <v>0.34428198433420371</v>
      </c>
      <c r="I344" s="179">
        <f t="shared" si="79"/>
        <v>0.36169852941176472</v>
      </c>
      <c r="J344" s="179">
        <f t="shared" si="79"/>
        <v>0.41428571428571437</v>
      </c>
      <c r="K344" s="179">
        <f t="shared" si="79"/>
        <v>0.21874999999999997</v>
      </c>
      <c r="L344" s="179">
        <f t="shared" si="79"/>
        <v>0.28542857142857142</v>
      </c>
      <c r="M344" s="179">
        <f t="shared" si="79"/>
        <v>0.10111111111111111</v>
      </c>
      <c r="N344" s="179">
        <f t="shared" si="79"/>
        <v>0.51949999999999996</v>
      </c>
      <c r="O344" s="179">
        <f t="shared" si="79"/>
        <v>0.14597499999999999</v>
      </c>
      <c r="P344" s="179">
        <f t="shared" si="79"/>
        <v>0.42243333333333333</v>
      </c>
      <c r="Q344" s="179">
        <f t="shared" si="79"/>
        <v>0.2462857142857143</v>
      </c>
      <c r="R344" s="179">
        <f t="shared" si="79"/>
        <v>0.437</v>
      </c>
      <c r="S344" s="179">
        <f t="shared" si="79"/>
        <v>0.67093333333333338</v>
      </c>
      <c r="T344" s="179">
        <f t="shared" si="79"/>
        <v>0.49277777777777776</v>
      </c>
    </row>
    <row r="345" spans="2:20" s="176" customFormat="1" ht="18" customHeight="1" x14ac:dyDescent="0.3">
      <c r="B345" s="355" t="s">
        <v>237</v>
      </c>
      <c r="C345" s="355"/>
      <c r="D345" s="355"/>
      <c r="E345" s="355"/>
      <c r="F345" s="355"/>
      <c r="G345" s="355"/>
      <c r="H345" s="355"/>
      <c r="I345" s="355"/>
      <c r="J345" s="355"/>
      <c r="K345" s="355"/>
      <c r="L345" s="355"/>
      <c r="M345" s="355"/>
      <c r="N345" s="355"/>
      <c r="O345" s="355"/>
      <c r="P345" s="355"/>
      <c r="Q345" s="355"/>
      <c r="R345" s="355"/>
      <c r="S345" s="355"/>
      <c r="T345" s="355"/>
    </row>
    <row r="346" spans="2:20" s="176" customFormat="1" ht="18" customHeight="1" x14ac:dyDescent="0.3">
      <c r="B346" s="177" t="s">
        <v>224</v>
      </c>
      <c r="C346" s="352" t="s">
        <v>257</v>
      </c>
      <c r="D346" s="352"/>
      <c r="E346" s="177">
        <v>80</v>
      </c>
      <c r="F346" s="177">
        <v>5.95</v>
      </c>
      <c r="G346" s="177">
        <v>6.05</v>
      </c>
      <c r="H346" s="177">
        <v>38.22</v>
      </c>
      <c r="I346" s="177">
        <v>231.11</v>
      </c>
      <c r="J346" s="177">
        <v>0.06</v>
      </c>
      <c r="K346" s="177">
        <v>0.06</v>
      </c>
      <c r="L346" s="177">
        <v>0.02</v>
      </c>
      <c r="M346" s="177">
        <v>0.06</v>
      </c>
      <c r="N346" s="177"/>
      <c r="O346" s="177">
        <v>19.489999999999998</v>
      </c>
      <c r="P346" s="177">
        <v>55.89</v>
      </c>
      <c r="Q346" s="177"/>
      <c r="R346" s="177">
        <v>0</v>
      </c>
      <c r="S346" s="177">
        <v>8.27</v>
      </c>
      <c r="T346" s="177">
        <v>0.7</v>
      </c>
    </row>
    <row r="347" spans="2:20" s="176" customFormat="1" ht="18" customHeight="1" x14ac:dyDescent="0.3">
      <c r="B347" s="177">
        <v>377</v>
      </c>
      <c r="C347" s="352" t="s">
        <v>149</v>
      </c>
      <c r="D347" s="352"/>
      <c r="E347" s="177" t="s">
        <v>151</v>
      </c>
      <c r="F347" s="177">
        <v>0.26</v>
      </c>
      <c r="G347" s="177">
        <v>0.06</v>
      </c>
      <c r="H347" s="177">
        <v>15.22</v>
      </c>
      <c r="I347" s="177">
        <v>62.5</v>
      </c>
      <c r="J347" s="177"/>
      <c r="K347" s="177">
        <v>0.01</v>
      </c>
      <c r="L347" s="177">
        <v>2.9</v>
      </c>
      <c r="M347" s="177">
        <v>0</v>
      </c>
      <c r="N347" s="177">
        <v>0.06</v>
      </c>
      <c r="O347" s="177">
        <v>8.0500000000000007</v>
      </c>
      <c r="P347" s="177">
        <v>9.7799999999999994</v>
      </c>
      <c r="Q347" s="177">
        <v>1.7000000000000001E-2</v>
      </c>
      <c r="R347" s="177">
        <v>0</v>
      </c>
      <c r="S347" s="177">
        <v>5.24</v>
      </c>
      <c r="T347" s="177">
        <v>0.87</v>
      </c>
    </row>
    <row r="348" spans="2:20" s="176" customFormat="1" ht="18" customHeight="1" x14ac:dyDescent="0.3">
      <c r="B348" s="356" t="s">
        <v>240</v>
      </c>
      <c r="C348" s="357"/>
      <c r="D348" s="358"/>
      <c r="E348" s="178">
        <f>E346+204</f>
        <v>284</v>
      </c>
      <c r="F348" s="178">
        <f>SUM(F346:F347)</f>
        <v>6.21</v>
      </c>
      <c r="G348" s="178">
        <f t="shared" ref="G348:T348" si="80">SUM(G346:G347)</f>
        <v>6.1099999999999994</v>
      </c>
      <c r="H348" s="178">
        <f t="shared" si="80"/>
        <v>53.44</v>
      </c>
      <c r="I348" s="178">
        <f t="shared" si="80"/>
        <v>293.61</v>
      </c>
      <c r="J348" s="178">
        <f t="shared" si="80"/>
        <v>0.06</v>
      </c>
      <c r="K348" s="178">
        <f t="shared" si="80"/>
        <v>6.9999999999999993E-2</v>
      </c>
      <c r="L348" s="178">
        <f t="shared" si="80"/>
        <v>2.92</v>
      </c>
      <c r="M348" s="178">
        <f t="shared" si="80"/>
        <v>0.06</v>
      </c>
      <c r="N348" s="178">
        <f t="shared" si="80"/>
        <v>0.06</v>
      </c>
      <c r="O348" s="178">
        <f t="shared" si="80"/>
        <v>27.54</v>
      </c>
      <c r="P348" s="178">
        <f t="shared" si="80"/>
        <v>65.67</v>
      </c>
      <c r="Q348" s="178">
        <f t="shared" si="80"/>
        <v>1.7000000000000001E-2</v>
      </c>
      <c r="R348" s="178">
        <f t="shared" si="80"/>
        <v>0</v>
      </c>
      <c r="S348" s="178">
        <f t="shared" si="80"/>
        <v>13.51</v>
      </c>
      <c r="T348" s="178">
        <f t="shared" si="80"/>
        <v>1.5699999999999998</v>
      </c>
    </row>
    <row r="349" spans="2:20" s="176" customFormat="1" ht="18" customHeight="1" x14ac:dyDescent="0.3">
      <c r="B349" s="350" t="s">
        <v>226</v>
      </c>
      <c r="C349" s="350"/>
      <c r="D349" s="350"/>
      <c r="E349" s="350"/>
      <c r="F349" s="179">
        <f>F348/F351</f>
        <v>6.9000000000000006E-2</v>
      </c>
      <c r="G349" s="179">
        <f t="shared" ref="G349:T349" si="81">G348/G351</f>
        <v>6.6413043478260866E-2</v>
      </c>
      <c r="H349" s="179">
        <f t="shared" si="81"/>
        <v>0.13953002610966056</v>
      </c>
      <c r="I349" s="179">
        <f t="shared" si="81"/>
        <v>0.10794485294117648</v>
      </c>
      <c r="J349" s="179">
        <f t="shared" si="81"/>
        <v>4.2857142857142858E-2</v>
      </c>
      <c r="K349" s="179">
        <f t="shared" si="81"/>
        <v>4.374999999999999E-2</v>
      </c>
      <c r="L349" s="179">
        <f t="shared" si="81"/>
        <v>4.1714285714285711E-2</v>
      </c>
      <c r="M349" s="179">
        <f t="shared" si="81"/>
        <v>6.6666666666666666E-2</v>
      </c>
      <c r="N349" s="179">
        <f t="shared" si="81"/>
        <v>5.0000000000000001E-3</v>
      </c>
      <c r="O349" s="179">
        <f t="shared" si="81"/>
        <v>2.2949999999999998E-2</v>
      </c>
      <c r="P349" s="179">
        <f t="shared" si="81"/>
        <v>5.4725000000000003E-2</v>
      </c>
      <c r="Q349" s="179">
        <f t="shared" si="81"/>
        <v>1.2142857142857144E-3</v>
      </c>
      <c r="R349" s="179">
        <f t="shared" si="81"/>
        <v>0</v>
      </c>
      <c r="S349" s="179">
        <f t="shared" si="81"/>
        <v>4.5033333333333335E-2</v>
      </c>
      <c r="T349" s="179">
        <f t="shared" si="81"/>
        <v>8.7222222222222215E-2</v>
      </c>
    </row>
    <row r="350" spans="2:20" s="176" customFormat="1" ht="18" customHeight="1" x14ac:dyDescent="0.3">
      <c r="B350" s="350" t="s">
        <v>241</v>
      </c>
      <c r="C350" s="350"/>
      <c r="D350" s="350"/>
      <c r="E350" s="350"/>
      <c r="F350" s="178">
        <f>F348+F343+F333</f>
        <v>79.860000000000014</v>
      </c>
      <c r="G350" s="178">
        <f t="shared" ref="G350:T350" si="82">G348+G343+G333</f>
        <v>86.58</v>
      </c>
      <c r="H350" s="178">
        <f t="shared" si="82"/>
        <v>219.59000000000003</v>
      </c>
      <c r="I350" s="178">
        <f t="shared" si="82"/>
        <v>1977.6100000000001</v>
      </c>
      <c r="J350" s="178">
        <f t="shared" si="82"/>
        <v>0.96900000000000008</v>
      </c>
      <c r="K350" s="178">
        <f t="shared" si="82"/>
        <v>1.363</v>
      </c>
      <c r="L350" s="178">
        <f t="shared" si="82"/>
        <v>35.57</v>
      </c>
      <c r="M350" s="178">
        <f t="shared" si="82"/>
        <v>0.38009999999999999</v>
      </c>
      <c r="N350" s="178">
        <f t="shared" si="82"/>
        <v>7.3989999999999991</v>
      </c>
      <c r="O350" s="178">
        <f t="shared" si="82"/>
        <v>576.66000000000008</v>
      </c>
      <c r="P350" s="178">
        <f t="shared" si="82"/>
        <v>1132.93</v>
      </c>
      <c r="Q350" s="178">
        <f t="shared" si="82"/>
        <v>4.3500000000000005</v>
      </c>
      <c r="R350" s="178">
        <f t="shared" si="82"/>
        <v>9.7700000000000009E-2</v>
      </c>
      <c r="S350" s="178">
        <f t="shared" si="82"/>
        <v>276.08999999999997</v>
      </c>
      <c r="T350" s="178">
        <f t="shared" si="82"/>
        <v>17.75</v>
      </c>
    </row>
    <row r="351" spans="2:20" s="176" customFormat="1" ht="18" customHeight="1" x14ac:dyDescent="0.3">
      <c r="B351" s="350" t="s">
        <v>242</v>
      </c>
      <c r="C351" s="350"/>
      <c r="D351" s="350"/>
      <c r="E351" s="350"/>
      <c r="F351" s="177">
        <v>90</v>
      </c>
      <c r="G351" s="177">
        <v>92</v>
      </c>
      <c r="H351" s="177">
        <v>383</v>
      </c>
      <c r="I351" s="177">
        <v>2720</v>
      </c>
      <c r="J351" s="177">
        <v>1.4</v>
      </c>
      <c r="K351" s="177">
        <v>1.6</v>
      </c>
      <c r="L351" s="177">
        <v>70</v>
      </c>
      <c r="M351" s="177">
        <v>0.9</v>
      </c>
      <c r="N351" s="177">
        <v>12</v>
      </c>
      <c r="O351" s="177">
        <v>1200</v>
      </c>
      <c r="P351" s="177">
        <v>1200</v>
      </c>
      <c r="Q351" s="177">
        <v>14</v>
      </c>
      <c r="R351" s="177">
        <v>0.1</v>
      </c>
      <c r="S351" s="177">
        <v>300</v>
      </c>
      <c r="T351" s="177">
        <v>18</v>
      </c>
    </row>
    <row r="352" spans="2:20" s="176" customFormat="1" ht="18" customHeight="1" x14ac:dyDescent="0.3">
      <c r="B352" s="350" t="s">
        <v>226</v>
      </c>
      <c r="C352" s="350"/>
      <c r="D352" s="350"/>
      <c r="E352" s="350"/>
      <c r="F352" s="179">
        <f>F350/F351</f>
        <v>0.88733333333333353</v>
      </c>
      <c r="G352" s="179">
        <f t="shared" ref="G352:T352" si="83">G350/G351</f>
        <v>0.94108695652173913</v>
      </c>
      <c r="H352" s="179">
        <f t="shared" si="83"/>
        <v>0.57334203655352489</v>
      </c>
      <c r="I352" s="179">
        <f t="shared" si="83"/>
        <v>0.72706250000000006</v>
      </c>
      <c r="J352" s="179">
        <f t="shared" si="83"/>
        <v>0.69214285714285728</v>
      </c>
      <c r="K352" s="179">
        <f t="shared" si="83"/>
        <v>0.85187499999999994</v>
      </c>
      <c r="L352" s="179">
        <f t="shared" si="83"/>
        <v>0.50814285714285712</v>
      </c>
      <c r="M352" s="179">
        <f t="shared" si="83"/>
        <v>0.42233333333333334</v>
      </c>
      <c r="N352" s="179">
        <f t="shared" si="83"/>
        <v>0.61658333333333326</v>
      </c>
      <c r="O352" s="179">
        <f t="shared" si="83"/>
        <v>0.48055000000000009</v>
      </c>
      <c r="P352" s="179">
        <f t="shared" si="83"/>
        <v>0.94410833333333344</v>
      </c>
      <c r="Q352" s="179">
        <f t="shared" si="83"/>
        <v>0.31071428571428578</v>
      </c>
      <c r="R352" s="179">
        <f t="shared" si="83"/>
        <v>0.97700000000000009</v>
      </c>
      <c r="S352" s="179">
        <f t="shared" si="83"/>
        <v>0.9202999999999999</v>
      </c>
      <c r="T352" s="179">
        <f t="shared" si="83"/>
        <v>0.98611111111111116</v>
      </c>
    </row>
    <row r="353" spans="2:20" s="176" customFormat="1" ht="18" customHeight="1" x14ac:dyDescent="0.3">
      <c r="B353" s="350" t="s">
        <v>295</v>
      </c>
      <c r="C353" s="350"/>
      <c r="D353" s="350"/>
      <c r="E353" s="350"/>
      <c r="F353" s="201">
        <f t="shared" ref="F353:T353" si="84">(F195+F230+F263+F299+F333)/5</f>
        <v>22.435999999999996</v>
      </c>
      <c r="G353" s="201">
        <f t="shared" si="84"/>
        <v>26.506</v>
      </c>
      <c r="H353" s="201">
        <f t="shared" si="84"/>
        <v>79.900000000000006</v>
      </c>
      <c r="I353" s="201">
        <f t="shared" si="84"/>
        <v>647.82399999999996</v>
      </c>
      <c r="J353" s="201">
        <f t="shared" si="84"/>
        <v>0.31059999999999999</v>
      </c>
      <c r="K353" s="201">
        <f t="shared" si="84"/>
        <v>0.46500000000000002</v>
      </c>
      <c r="L353" s="201">
        <f t="shared" si="84"/>
        <v>23.826000000000001</v>
      </c>
      <c r="M353" s="201">
        <f t="shared" si="84"/>
        <v>0.14645999999999998</v>
      </c>
      <c r="N353" s="201">
        <f t="shared" si="84"/>
        <v>1.9420000000000002</v>
      </c>
      <c r="O353" s="201">
        <f t="shared" si="84"/>
        <v>264.536</v>
      </c>
      <c r="P353" s="201">
        <f t="shared" si="84"/>
        <v>419.65</v>
      </c>
      <c r="Q353" s="201">
        <f t="shared" si="84"/>
        <v>2.0221999999999998</v>
      </c>
      <c r="R353" s="201">
        <f t="shared" si="84"/>
        <v>5.5600000000000004E-2</v>
      </c>
      <c r="S353" s="201">
        <f t="shared" si="84"/>
        <v>78.295999999999992</v>
      </c>
      <c r="T353" s="201">
        <f t="shared" si="84"/>
        <v>4.8</v>
      </c>
    </row>
    <row r="354" spans="2:20" s="176" customFormat="1" ht="18" customHeight="1" x14ac:dyDescent="0.3">
      <c r="B354" s="350" t="s">
        <v>242</v>
      </c>
      <c r="C354" s="350"/>
      <c r="D354" s="350"/>
      <c r="E354" s="350"/>
      <c r="F354" s="177">
        <v>90</v>
      </c>
      <c r="G354" s="177">
        <v>92</v>
      </c>
      <c r="H354" s="177">
        <v>383</v>
      </c>
      <c r="I354" s="177">
        <v>2720</v>
      </c>
      <c r="J354" s="177">
        <v>1.4</v>
      </c>
      <c r="K354" s="177">
        <v>1.6</v>
      </c>
      <c r="L354" s="177">
        <v>70</v>
      </c>
      <c r="M354" s="177">
        <v>0.9</v>
      </c>
      <c r="N354" s="177">
        <v>12</v>
      </c>
      <c r="O354" s="177">
        <v>1200</v>
      </c>
      <c r="P354" s="177">
        <v>1200</v>
      </c>
      <c r="Q354" s="177">
        <v>14</v>
      </c>
      <c r="R354" s="177">
        <v>0.1</v>
      </c>
      <c r="S354" s="177">
        <v>300</v>
      </c>
      <c r="T354" s="177">
        <v>18</v>
      </c>
    </row>
    <row r="355" spans="2:20" s="176" customFormat="1" ht="18" customHeight="1" x14ac:dyDescent="0.3">
      <c r="B355" s="350" t="s">
        <v>226</v>
      </c>
      <c r="C355" s="350"/>
      <c r="D355" s="350"/>
      <c r="E355" s="350"/>
      <c r="F355" s="179">
        <f>F353/F354</f>
        <v>0.24928888888888884</v>
      </c>
      <c r="G355" s="179">
        <f t="shared" ref="G355:T355" si="85">G353/G354</f>
        <v>0.2881086956521739</v>
      </c>
      <c r="H355" s="179">
        <f t="shared" si="85"/>
        <v>0.20861618798955614</v>
      </c>
      <c r="I355" s="179">
        <f t="shared" si="85"/>
        <v>0.23817058823529411</v>
      </c>
      <c r="J355" s="179">
        <f t="shared" si="85"/>
        <v>0.22185714285714286</v>
      </c>
      <c r="K355" s="179">
        <f t="shared" si="85"/>
        <v>0.29062500000000002</v>
      </c>
      <c r="L355" s="179">
        <f t="shared" si="85"/>
        <v>0.3403714285714286</v>
      </c>
      <c r="M355" s="179">
        <f t="shared" si="85"/>
        <v>0.16273333333333331</v>
      </c>
      <c r="N355" s="179">
        <f t="shared" si="85"/>
        <v>0.16183333333333336</v>
      </c>
      <c r="O355" s="179">
        <f t="shared" si="85"/>
        <v>0.22044666666666668</v>
      </c>
      <c r="P355" s="179">
        <f t="shared" si="85"/>
        <v>0.34970833333333329</v>
      </c>
      <c r="Q355" s="179">
        <f t="shared" si="85"/>
        <v>0.14444285714285712</v>
      </c>
      <c r="R355" s="179">
        <f t="shared" si="85"/>
        <v>0.55600000000000005</v>
      </c>
      <c r="S355" s="179">
        <f t="shared" si="85"/>
        <v>0.26098666666666664</v>
      </c>
      <c r="T355" s="179">
        <f t="shared" si="85"/>
        <v>0.26666666666666666</v>
      </c>
    </row>
    <row r="356" spans="2:20" x14ac:dyDescent="0.3">
      <c r="B356" s="350" t="s">
        <v>296</v>
      </c>
      <c r="C356" s="350"/>
      <c r="D356" s="350"/>
      <c r="E356" s="350"/>
      <c r="F356" s="201">
        <f t="shared" ref="F356:T356" si="86">(F206+F240+F273+F309+F343)/5</f>
        <v>33.956000000000003</v>
      </c>
      <c r="G356" s="201">
        <f t="shared" si="86"/>
        <v>29.975199999999994</v>
      </c>
      <c r="H356" s="201">
        <f t="shared" si="86"/>
        <v>105.542</v>
      </c>
      <c r="I356" s="201">
        <f t="shared" si="86"/>
        <v>827.05880000000002</v>
      </c>
      <c r="J356" s="201">
        <f t="shared" si="86"/>
        <v>0.67759999999999998</v>
      </c>
      <c r="K356" s="201">
        <f t="shared" si="86"/>
        <v>0.44720000000000004</v>
      </c>
      <c r="L356" s="201">
        <f t="shared" si="86"/>
        <v>42.130399999999995</v>
      </c>
      <c r="M356" s="201">
        <f t="shared" si="86"/>
        <v>0.81102000000000007</v>
      </c>
      <c r="N356" s="201">
        <f t="shared" si="86"/>
        <v>5.6036000000000001</v>
      </c>
      <c r="O356" s="201">
        <f t="shared" si="86"/>
        <v>176.35399999999998</v>
      </c>
      <c r="P356" s="201">
        <f t="shared" si="86"/>
        <v>361.49599999999998</v>
      </c>
      <c r="Q356" s="201">
        <f t="shared" si="86"/>
        <v>4.1108000000000002</v>
      </c>
      <c r="R356" s="201">
        <f t="shared" si="86"/>
        <v>2.1940000000000001E-2</v>
      </c>
      <c r="S356" s="201">
        <f t="shared" si="86"/>
        <v>130.78200000000001</v>
      </c>
      <c r="T356" s="201">
        <f t="shared" si="86"/>
        <v>7.2379999999999995</v>
      </c>
    </row>
    <row r="357" spans="2:20" x14ac:dyDescent="0.3">
      <c r="B357" s="350" t="s">
        <v>242</v>
      </c>
      <c r="C357" s="350"/>
      <c r="D357" s="350"/>
      <c r="E357" s="350"/>
      <c r="F357" s="177">
        <v>90</v>
      </c>
      <c r="G357" s="177">
        <v>92</v>
      </c>
      <c r="H357" s="177">
        <v>383</v>
      </c>
      <c r="I357" s="177">
        <v>2720</v>
      </c>
      <c r="J357" s="177">
        <v>1.4</v>
      </c>
      <c r="K357" s="177">
        <v>1.6</v>
      </c>
      <c r="L357" s="177">
        <v>70</v>
      </c>
      <c r="M357" s="177">
        <v>0.9</v>
      </c>
      <c r="N357" s="177">
        <v>12</v>
      </c>
      <c r="O357" s="177">
        <v>1200</v>
      </c>
      <c r="P357" s="177">
        <v>1200</v>
      </c>
      <c r="Q357" s="177">
        <v>14</v>
      </c>
      <c r="R357" s="177">
        <v>0.1</v>
      </c>
      <c r="S357" s="177">
        <v>300</v>
      </c>
      <c r="T357" s="177">
        <v>18</v>
      </c>
    </row>
    <row r="358" spans="2:20" x14ac:dyDescent="0.3">
      <c r="B358" s="350" t="s">
        <v>226</v>
      </c>
      <c r="C358" s="350"/>
      <c r="D358" s="350"/>
      <c r="E358" s="350"/>
      <c r="F358" s="179">
        <f>F356/F357</f>
        <v>0.3772888888888889</v>
      </c>
      <c r="G358" s="179">
        <f t="shared" ref="G358:T358" si="87">G356/G357</f>
        <v>0.32581739130434778</v>
      </c>
      <c r="H358" s="179">
        <f t="shared" si="87"/>
        <v>0.27556657963446474</v>
      </c>
      <c r="I358" s="179">
        <f t="shared" si="87"/>
        <v>0.30406573529411768</v>
      </c>
      <c r="J358" s="179">
        <f t="shared" si="87"/>
        <v>0.48400000000000004</v>
      </c>
      <c r="K358" s="179">
        <f t="shared" si="87"/>
        <v>0.27950000000000003</v>
      </c>
      <c r="L358" s="179">
        <f t="shared" si="87"/>
        <v>0.60186285714285703</v>
      </c>
      <c r="M358" s="179">
        <f t="shared" si="87"/>
        <v>0.90113333333333334</v>
      </c>
      <c r="N358" s="179">
        <f t="shared" si="87"/>
        <v>0.4669666666666667</v>
      </c>
      <c r="O358" s="179">
        <f t="shared" si="87"/>
        <v>0.14696166666666666</v>
      </c>
      <c r="P358" s="179">
        <f t="shared" si="87"/>
        <v>0.30124666666666666</v>
      </c>
      <c r="Q358" s="179">
        <f t="shared" si="87"/>
        <v>0.29362857142857146</v>
      </c>
      <c r="R358" s="179">
        <f t="shared" si="87"/>
        <v>0.21940000000000001</v>
      </c>
      <c r="S358" s="179">
        <f t="shared" si="87"/>
        <v>0.43594000000000005</v>
      </c>
      <c r="T358" s="179">
        <f t="shared" si="87"/>
        <v>0.40211111111111109</v>
      </c>
    </row>
    <row r="359" spans="2:20" x14ac:dyDescent="0.3">
      <c r="B359" s="350" t="s">
        <v>297</v>
      </c>
      <c r="C359" s="350"/>
      <c r="D359" s="350"/>
      <c r="E359" s="350"/>
      <c r="F359" s="201">
        <f t="shared" ref="F359:T359" si="88">(F211+F245+F278+F314+F348)/5</f>
        <v>7.58</v>
      </c>
      <c r="G359" s="201">
        <f t="shared" si="88"/>
        <v>6.3959999999999999</v>
      </c>
      <c r="H359" s="201">
        <f t="shared" si="88"/>
        <v>62.519999999999996</v>
      </c>
      <c r="I359" s="201">
        <f t="shared" si="88"/>
        <v>337.46400000000006</v>
      </c>
      <c r="J359" s="201">
        <f t="shared" si="88"/>
        <v>8.4000000000000005E-2</v>
      </c>
      <c r="K359" s="201">
        <f t="shared" si="88"/>
        <v>8.199999999999999E-2</v>
      </c>
      <c r="L359" s="201">
        <f t="shared" si="88"/>
        <v>2.504</v>
      </c>
      <c r="M359" s="201">
        <f t="shared" si="88"/>
        <v>8.4020000000000011E-2</v>
      </c>
      <c r="N359" s="201">
        <f t="shared" si="88"/>
        <v>2.0999999999999998E-2</v>
      </c>
      <c r="O359" s="201">
        <f t="shared" si="88"/>
        <v>40.238000000000007</v>
      </c>
      <c r="P359" s="201">
        <f t="shared" si="88"/>
        <v>57.04</v>
      </c>
      <c r="Q359" s="201">
        <f t="shared" si="88"/>
        <v>5.0000000000000001E-3</v>
      </c>
      <c r="R359" s="201">
        <f t="shared" si="88"/>
        <v>0</v>
      </c>
      <c r="S359" s="201">
        <f t="shared" si="88"/>
        <v>15.594000000000003</v>
      </c>
      <c r="T359" s="201">
        <f t="shared" si="88"/>
        <v>1.5080000000000002</v>
      </c>
    </row>
    <row r="360" spans="2:20" x14ac:dyDescent="0.3">
      <c r="B360" s="350" t="s">
        <v>242</v>
      </c>
      <c r="C360" s="350"/>
      <c r="D360" s="350"/>
      <c r="E360" s="350"/>
      <c r="F360" s="177">
        <v>90</v>
      </c>
      <c r="G360" s="177">
        <v>92</v>
      </c>
      <c r="H360" s="177">
        <v>383</v>
      </c>
      <c r="I360" s="177">
        <v>2720</v>
      </c>
      <c r="J360" s="177">
        <v>1.4</v>
      </c>
      <c r="K360" s="177">
        <v>1.6</v>
      </c>
      <c r="L360" s="177">
        <v>70</v>
      </c>
      <c r="M360" s="177">
        <v>0.9</v>
      </c>
      <c r="N360" s="177">
        <v>12</v>
      </c>
      <c r="O360" s="177">
        <v>1200</v>
      </c>
      <c r="P360" s="177">
        <v>1200</v>
      </c>
      <c r="Q360" s="177">
        <v>14</v>
      </c>
      <c r="R360" s="177">
        <v>0.1</v>
      </c>
      <c r="S360" s="177">
        <v>300</v>
      </c>
      <c r="T360" s="177">
        <v>18</v>
      </c>
    </row>
    <row r="361" spans="2:20" x14ac:dyDescent="0.3">
      <c r="B361" s="350" t="s">
        <v>226</v>
      </c>
      <c r="C361" s="350"/>
      <c r="D361" s="350"/>
      <c r="E361" s="350"/>
      <c r="F361" s="179">
        <f>F359/F360</f>
        <v>8.4222222222222226E-2</v>
      </c>
      <c r="G361" s="179">
        <f t="shared" ref="G361:T361" si="89">G359/G360</f>
        <v>6.9521739130434787E-2</v>
      </c>
      <c r="H361" s="179">
        <f t="shared" si="89"/>
        <v>0.16323759791122713</v>
      </c>
      <c r="I361" s="179">
        <f t="shared" si="89"/>
        <v>0.12406764705882355</v>
      </c>
      <c r="J361" s="179">
        <f t="shared" si="89"/>
        <v>6.0000000000000005E-2</v>
      </c>
      <c r="K361" s="179">
        <f t="shared" si="89"/>
        <v>5.124999999999999E-2</v>
      </c>
      <c r="L361" s="179">
        <f t="shared" si="89"/>
        <v>3.5771428571428572E-2</v>
      </c>
      <c r="M361" s="179">
        <f t="shared" si="89"/>
        <v>9.3355555555555567E-2</v>
      </c>
      <c r="N361" s="179">
        <f t="shared" si="89"/>
        <v>1.7499999999999998E-3</v>
      </c>
      <c r="O361" s="179">
        <f t="shared" si="89"/>
        <v>3.3531666666666675E-2</v>
      </c>
      <c r="P361" s="179">
        <f t="shared" si="89"/>
        <v>4.753333333333333E-2</v>
      </c>
      <c r="Q361" s="179">
        <f t="shared" si="89"/>
        <v>3.5714285714285714E-4</v>
      </c>
      <c r="R361" s="179">
        <f t="shared" si="89"/>
        <v>0</v>
      </c>
      <c r="S361" s="179">
        <f t="shared" si="89"/>
        <v>5.1980000000000012E-2</v>
      </c>
      <c r="T361" s="179">
        <f t="shared" si="89"/>
        <v>8.3777777777777784E-2</v>
      </c>
    </row>
    <row r="362" spans="2:20" x14ac:dyDescent="0.3">
      <c r="B362" s="350" t="s">
        <v>328</v>
      </c>
      <c r="C362" s="350"/>
      <c r="D362" s="350"/>
      <c r="E362" s="350"/>
      <c r="F362" s="201">
        <f>F353+F356+F359</f>
        <v>63.971999999999994</v>
      </c>
      <c r="G362" s="201">
        <f t="shared" ref="G362:T362" si="90">G353+G356+G359</f>
        <v>62.877199999999995</v>
      </c>
      <c r="H362" s="201">
        <f t="shared" si="90"/>
        <v>247.96199999999999</v>
      </c>
      <c r="I362" s="201">
        <f t="shared" si="90"/>
        <v>1812.3467999999998</v>
      </c>
      <c r="J362" s="201">
        <f t="shared" si="90"/>
        <v>1.0722</v>
      </c>
      <c r="K362" s="201">
        <f t="shared" si="90"/>
        <v>0.99420000000000008</v>
      </c>
      <c r="L362" s="201">
        <f t="shared" si="90"/>
        <v>68.460400000000007</v>
      </c>
      <c r="M362" s="201">
        <f t="shared" si="90"/>
        <v>1.0415000000000001</v>
      </c>
      <c r="N362" s="201">
        <f t="shared" si="90"/>
        <v>7.5666000000000002</v>
      </c>
      <c r="O362" s="201">
        <f t="shared" si="90"/>
        <v>481.12799999999999</v>
      </c>
      <c r="P362" s="201">
        <f t="shared" si="90"/>
        <v>838.18599999999992</v>
      </c>
      <c r="Q362" s="201">
        <f t="shared" si="90"/>
        <v>6.1379999999999999</v>
      </c>
      <c r="R362" s="201">
        <f t="shared" si="90"/>
        <v>7.7539999999999998E-2</v>
      </c>
      <c r="S362" s="201">
        <f t="shared" si="90"/>
        <v>224.672</v>
      </c>
      <c r="T362" s="201">
        <f t="shared" si="90"/>
        <v>13.546000000000001</v>
      </c>
    </row>
    <row r="363" spans="2:20" x14ac:dyDescent="0.3">
      <c r="B363" s="350" t="s">
        <v>242</v>
      </c>
      <c r="C363" s="350"/>
      <c r="D363" s="350"/>
      <c r="E363" s="350"/>
      <c r="F363" s="177">
        <v>90</v>
      </c>
      <c r="G363" s="177">
        <v>92</v>
      </c>
      <c r="H363" s="177">
        <v>383</v>
      </c>
      <c r="I363" s="177">
        <v>2720</v>
      </c>
      <c r="J363" s="177">
        <v>1.4</v>
      </c>
      <c r="K363" s="177">
        <v>1.6</v>
      </c>
      <c r="L363" s="177">
        <v>70</v>
      </c>
      <c r="M363" s="177">
        <v>0.9</v>
      </c>
      <c r="N363" s="177">
        <v>12</v>
      </c>
      <c r="O363" s="177">
        <v>1200</v>
      </c>
      <c r="P363" s="177">
        <v>1200</v>
      </c>
      <c r="Q363" s="177">
        <v>14</v>
      </c>
      <c r="R363" s="177">
        <v>0.1</v>
      </c>
      <c r="S363" s="177">
        <v>300</v>
      </c>
      <c r="T363" s="177">
        <v>18</v>
      </c>
    </row>
    <row r="364" spans="2:20" x14ac:dyDescent="0.3">
      <c r="B364" s="350" t="s">
        <v>226</v>
      </c>
      <c r="C364" s="350"/>
      <c r="D364" s="350"/>
      <c r="E364" s="350"/>
      <c r="F364" s="179">
        <f>F362/F363</f>
        <v>0.71079999999999999</v>
      </c>
      <c r="G364" s="179">
        <f t="shared" ref="G364:T364" si="91">G362/G363</f>
        <v>0.68344782608695642</v>
      </c>
      <c r="H364" s="179">
        <f t="shared" si="91"/>
        <v>0.64742036553524807</v>
      </c>
      <c r="I364" s="179">
        <f t="shared" si="91"/>
        <v>0.66630397058823521</v>
      </c>
      <c r="J364" s="179">
        <f t="shared" si="91"/>
        <v>0.7658571428571429</v>
      </c>
      <c r="K364" s="179">
        <f t="shared" si="91"/>
        <v>0.62137500000000001</v>
      </c>
      <c r="L364" s="179">
        <f t="shared" si="91"/>
        <v>0.97800571428571437</v>
      </c>
      <c r="M364" s="179">
        <f t="shared" si="91"/>
        <v>1.1572222222222224</v>
      </c>
      <c r="N364" s="179">
        <f t="shared" si="91"/>
        <v>0.63055000000000005</v>
      </c>
      <c r="O364" s="179">
        <f t="shared" si="91"/>
        <v>0.40093999999999996</v>
      </c>
      <c r="P364" s="179">
        <f t="shared" si="91"/>
        <v>0.69848833333333327</v>
      </c>
      <c r="Q364" s="179">
        <f t="shared" si="91"/>
        <v>0.43842857142857145</v>
      </c>
      <c r="R364" s="179">
        <f t="shared" si="91"/>
        <v>0.77539999999999998</v>
      </c>
      <c r="S364" s="179">
        <f t="shared" si="91"/>
        <v>0.74890666666666661</v>
      </c>
      <c r="T364" s="179">
        <f t="shared" si="91"/>
        <v>0.75255555555555564</v>
      </c>
    </row>
  </sheetData>
  <mergeCells count="445">
    <mergeCell ref="M1:T1"/>
    <mergeCell ref="B2:T2"/>
    <mergeCell ref="B3:C3"/>
    <mergeCell ref="G3:I3"/>
    <mergeCell ref="L3:M3"/>
    <mergeCell ref="N3:Q3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C19:D19"/>
    <mergeCell ref="C20:D20"/>
    <mergeCell ref="C21:D21"/>
    <mergeCell ref="C22:D22"/>
    <mergeCell ref="C23:D23"/>
    <mergeCell ref="C24:D24"/>
    <mergeCell ref="C13:D13"/>
    <mergeCell ref="B14:D14"/>
    <mergeCell ref="B15:E15"/>
    <mergeCell ref="B16:T16"/>
    <mergeCell ref="C17:D17"/>
    <mergeCell ref="C18:D18"/>
    <mergeCell ref="B31:E31"/>
    <mergeCell ref="B32:E32"/>
    <mergeCell ref="B33:E33"/>
    <mergeCell ref="B34:E34"/>
    <mergeCell ref="M35:T35"/>
    <mergeCell ref="B36:T36"/>
    <mergeCell ref="B25:D25"/>
    <mergeCell ref="B26:E26"/>
    <mergeCell ref="B27:T27"/>
    <mergeCell ref="C28:D28"/>
    <mergeCell ref="C29:D29"/>
    <mergeCell ref="B30:D30"/>
    <mergeCell ref="C39:D40"/>
    <mergeCell ref="E39:E40"/>
    <mergeCell ref="F39:H39"/>
    <mergeCell ref="J39:N39"/>
    <mergeCell ref="O39:T39"/>
    <mergeCell ref="C41:D41"/>
    <mergeCell ref="B37:C37"/>
    <mergeCell ref="G37:I37"/>
    <mergeCell ref="L37:M37"/>
    <mergeCell ref="N37:Q37"/>
    <mergeCell ref="E38:F38"/>
    <mergeCell ref="L38:M38"/>
    <mergeCell ref="N38:T38"/>
    <mergeCell ref="C48:D48"/>
    <mergeCell ref="B49:D49"/>
    <mergeCell ref="B50:E50"/>
    <mergeCell ref="B51:T51"/>
    <mergeCell ref="C52:D52"/>
    <mergeCell ref="C53:D53"/>
    <mergeCell ref="B42:T42"/>
    <mergeCell ref="C43:D43"/>
    <mergeCell ref="C44:D44"/>
    <mergeCell ref="C45:D45"/>
    <mergeCell ref="C46:D46"/>
    <mergeCell ref="C47:D47"/>
    <mergeCell ref="B60:E60"/>
    <mergeCell ref="B61:T61"/>
    <mergeCell ref="C62:D62"/>
    <mergeCell ref="C63:D63"/>
    <mergeCell ref="B64:D64"/>
    <mergeCell ref="B65:E65"/>
    <mergeCell ref="C54:D54"/>
    <mergeCell ref="C55:D55"/>
    <mergeCell ref="C56:D56"/>
    <mergeCell ref="C57:D57"/>
    <mergeCell ref="C58:D58"/>
    <mergeCell ref="B59:D59"/>
    <mergeCell ref="E72:F72"/>
    <mergeCell ref="L72:M72"/>
    <mergeCell ref="N72:T72"/>
    <mergeCell ref="C73:D74"/>
    <mergeCell ref="E73:E74"/>
    <mergeCell ref="F73:H73"/>
    <mergeCell ref="J73:N73"/>
    <mergeCell ref="O73:T73"/>
    <mergeCell ref="B66:E66"/>
    <mergeCell ref="B67:E67"/>
    <mergeCell ref="B68:E68"/>
    <mergeCell ref="M69:T69"/>
    <mergeCell ref="B70:T70"/>
    <mergeCell ref="B71:C71"/>
    <mergeCell ref="G71:I71"/>
    <mergeCell ref="L71:M71"/>
    <mergeCell ref="N71:Q71"/>
    <mergeCell ref="C81:D81"/>
    <mergeCell ref="C82:D82"/>
    <mergeCell ref="B83:D83"/>
    <mergeCell ref="B84:E84"/>
    <mergeCell ref="B85:T85"/>
    <mergeCell ref="C86:D86"/>
    <mergeCell ref="C75:D75"/>
    <mergeCell ref="B76:T76"/>
    <mergeCell ref="C77:D77"/>
    <mergeCell ref="C78:D78"/>
    <mergeCell ref="C79:D79"/>
    <mergeCell ref="C80:D80"/>
    <mergeCell ref="B93:D93"/>
    <mergeCell ref="B94:E94"/>
    <mergeCell ref="B95:T95"/>
    <mergeCell ref="C96:D96"/>
    <mergeCell ref="C97:D97"/>
    <mergeCell ref="B99:E99"/>
    <mergeCell ref="C87:D87"/>
    <mergeCell ref="C88:D88"/>
    <mergeCell ref="C89:D89"/>
    <mergeCell ref="C90:D90"/>
    <mergeCell ref="C91:D91"/>
    <mergeCell ref="C92:D92"/>
    <mergeCell ref="E106:F106"/>
    <mergeCell ref="L106:M106"/>
    <mergeCell ref="N106:T106"/>
    <mergeCell ref="C107:D108"/>
    <mergeCell ref="E107:E108"/>
    <mergeCell ref="F107:H107"/>
    <mergeCell ref="J107:N107"/>
    <mergeCell ref="O107:T107"/>
    <mergeCell ref="B100:E100"/>
    <mergeCell ref="B101:E101"/>
    <mergeCell ref="B102:E102"/>
    <mergeCell ref="M103:T103"/>
    <mergeCell ref="B104:T104"/>
    <mergeCell ref="B105:C105"/>
    <mergeCell ref="G105:I105"/>
    <mergeCell ref="L105:M105"/>
    <mergeCell ref="N105:Q105"/>
    <mergeCell ref="C115:D115"/>
    <mergeCell ref="B116:D116"/>
    <mergeCell ref="B117:E117"/>
    <mergeCell ref="B118:T118"/>
    <mergeCell ref="C119:D119"/>
    <mergeCell ref="C120:D120"/>
    <mergeCell ref="C109:D109"/>
    <mergeCell ref="B110:T110"/>
    <mergeCell ref="C111:D111"/>
    <mergeCell ref="C112:D112"/>
    <mergeCell ref="C113:D113"/>
    <mergeCell ref="C114:D114"/>
    <mergeCell ref="B127:E127"/>
    <mergeCell ref="B128:T128"/>
    <mergeCell ref="C129:D129"/>
    <mergeCell ref="C130:D130"/>
    <mergeCell ref="B131:D131"/>
    <mergeCell ref="B132:E132"/>
    <mergeCell ref="C121:D121"/>
    <mergeCell ref="C122:D122"/>
    <mergeCell ref="C123:D123"/>
    <mergeCell ref="C124:D124"/>
    <mergeCell ref="C125:D125"/>
    <mergeCell ref="B126:D126"/>
    <mergeCell ref="E139:F139"/>
    <mergeCell ref="L139:M139"/>
    <mergeCell ref="N139:T139"/>
    <mergeCell ref="C140:D141"/>
    <mergeCell ref="E140:E141"/>
    <mergeCell ref="F140:H140"/>
    <mergeCell ref="J140:N140"/>
    <mergeCell ref="O140:T140"/>
    <mergeCell ref="B133:E133"/>
    <mergeCell ref="B134:E134"/>
    <mergeCell ref="B135:E135"/>
    <mergeCell ref="M136:T136"/>
    <mergeCell ref="B137:T137"/>
    <mergeCell ref="B138:C138"/>
    <mergeCell ref="G138:I138"/>
    <mergeCell ref="L138:M138"/>
    <mergeCell ref="N138:Q138"/>
    <mergeCell ref="B150:D150"/>
    <mergeCell ref="B151:E151"/>
    <mergeCell ref="B152:T152"/>
    <mergeCell ref="C153:D153"/>
    <mergeCell ref="C154:D154"/>
    <mergeCell ref="C155:D155"/>
    <mergeCell ref="C142:D142"/>
    <mergeCell ref="B143:T143"/>
    <mergeCell ref="C146:D146"/>
    <mergeCell ref="C147:D147"/>
    <mergeCell ref="C148:D148"/>
    <mergeCell ref="C149:D149"/>
    <mergeCell ref="B162:T162"/>
    <mergeCell ref="C163:D163"/>
    <mergeCell ref="C164:D164"/>
    <mergeCell ref="B165:D165"/>
    <mergeCell ref="B166:E166"/>
    <mergeCell ref="B167:E167"/>
    <mergeCell ref="C156:D156"/>
    <mergeCell ref="C157:D157"/>
    <mergeCell ref="C158:D158"/>
    <mergeCell ref="C159:D159"/>
    <mergeCell ref="B160:D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E185:F185"/>
    <mergeCell ref="L185:M185"/>
    <mergeCell ref="N185:T185"/>
    <mergeCell ref="C186:D187"/>
    <mergeCell ref="E186:E187"/>
    <mergeCell ref="F186:H186"/>
    <mergeCell ref="J186:N186"/>
    <mergeCell ref="O186:T186"/>
    <mergeCell ref="B180:E180"/>
    <mergeCell ref="B181:E181"/>
    <mergeCell ref="M182:T182"/>
    <mergeCell ref="B183:T183"/>
    <mergeCell ref="B184:C184"/>
    <mergeCell ref="G184:I184"/>
    <mergeCell ref="L184:M184"/>
    <mergeCell ref="N184:Q184"/>
    <mergeCell ref="C194:D194"/>
    <mergeCell ref="B195:D195"/>
    <mergeCell ref="B196:E196"/>
    <mergeCell ref="B197:T197"/>
    <mergeCell ref="C198:D198"/>
    <mergeCell ref="C199:D199"/>
    <mergeCell ref="C188:D188"/>
    <mergeCell ref="B189:T189"/>
    <mergeCell ref="C190:D190"/>
    <mergeCell ref="C191:D191"/>
    <mergeCell ref="C192:D192"/>
    <mergeCell ref="C193:D193"/>
    <mergeCell ref="B206:D206"/>
    <mergeCell ref="B207:E207"/>
    <mergeCell ref="B208:T208"/>
    <mergeCell ref="C209:D209"/>
    <mergeCell ref="C210:D210"/>
    <mergeCell ref="B211:D211"/>
    <mergeCell ref="C200:D200"/>
    <mergeCell ref="C201:D201"/>
    <mergeCell ref="C202:D202"/>
    <mergeCell ref="C203:D203"/>
    <mergeCell ref="C204:D204"/>
    <mergeCell ref="C205:D205"/>
    <mergeCell ref="B218:C218"/>
    <mergeCell ref="G218:I218"/>
    <mergeCell ref="L218:M218"/>
    <mergeCell ref="N218:Q218"/>
    <mergeCell ref="E219:F219"/>
    <mergeCell ref="L219:M219"/>
    <mergeCell ref="N219:T219"/>
    <mergeCell ref="B212:E212"/>
    <mergeCell ref="B213:E213"/>
    <mergeCell ref="B214:E214"/>
    <mergeCell ref="B215:E215"/>
    <mergeCell ref="M216:T216"/>
    <mergeCell ref="B217:T217"/>
    <mergeCell ref="B223:T223"/>
    <mergeCell ref="C224:D224"/>
    <mergeCell ref="C225:D225"/>
    <mergeCell ref="C226:D226"/>
    <mergeCell ref="C227:D227"/>
    <mergeCell ref="C228:D228"/>
    <mergeCell ref="C220:D221"/>
    <mergeCell ref="E220:E221"/>
    <mergeCell ref="F220:H220"/>
    <mergeCell ref="J220:N220"/>
    <mergeCell ref="O220:T220"/>
    <mergeCell ref="C222:D222"/>
    <mergeCell ref="C235:D235"/>
    <mergeCell ref="C236:D236"/>
    <mergeCell ref="C237:D237"/>
    <mergeCell ref="C238:D238"/>
    <mergeCell ref="C239:D239"/>
    <mergeCell ref="B240:D240"/>
    <mergeCell ref="C229:D229"/>
    <mergeCell ref="B230:D230"/>
    <mergeCell ref="B231:E231"/>
    <mergeCell ref="B232:T232"/>
    <mergeCell ref="C233:D233"/>
    <mergeCell ref="C234:D234"/>
    <mergeCell ref="B247:E247"/>
    <mergeCell ref="B248:E248"/>
    <mergeCell ref="B249:E249"/>
    <mergeCell ref="B250:J250"/>
    <mergeCell ref="M250:T250"/>
    <mergeCell ref="B252:T252"/>
    <mergeCell ref="B241:E241"/>
    <mergeCell ref="B242:T242"/>
    <mergeCell ref="C243:D243"/>
    <mergeCell ref="C244:D244"/>
    <mergeCell ref="B245:D245"/>
    <mergeCell ref="B246:E246"/>
    <mergeCell ref="C255:D256"/>
    <mergeCell ref="E255:E256"/>
    <mergeCell ref="F255:H255"/>
    <mergeCell ref="J255:N255"/>
    <mergeCell ref="O255:T255"/>
    <mergeCell ref="C257:D257"/>
    <mergeCell ref="B253:C253"/>
    <mergeCell ref="G253:I253"/>
    <mergeCell ref="L253:M253"/>
    <mergeCell ref="N253:Q253"/>
    <mergeCell ref="E254:F254"/>
    <mergeCell ref="L254:M254"/>
    <mergeCell ref="N254:T254"/>
    <mergeCell ref="B263:D263"/>
    <mergeCell ref="B264:E264"/>
    <mergeCell ref="B265:T265"/>
    <mergeCell ref="C266:D266"/>
    <mergeCell ref="C267:D267"/>
    <mergeCell ref="C268:D268"/>
    <mergeCell ref="B258:T258"/>
    <mergeCell ref="C259:D259"/>
    <mergeCell ref="C260:D260"/>
    <mergeCell ref="C261:D261"/>
    <mergeCell ref="C262:D262"/>
    <mergeCell ref="B275:T275"/>
    <mergeCell ref="C276:D276"/>
    <mergeCell ref="C277:D277"/>
    <mergeCell ref="B278:D278"/>
    <mergeCell ref="B279:E279"/>
    <mergeCell ref="B280:E280"/>
    <mergeCell ref="C269:D269"/>
    <mergeCell ref="C270:D270"/>
    <mergeCell ref="C271:D271"/>
    <mergeCell ref="C272:D272"/>
    <mergeCell ref="B273:D273"/>
    <mergeCell ref="B274:E274"/>
    <mergeCell ref="E287:F287"/>
    <mergeCell ref="L287:M287"/>
    <mergeCell ref="N287:T287"/>
    <mergeCell ref="C288:D289"/>
    <mergeCell ref="E288:E289"/>
    <mergeCell ref="F288:H288"/>
    <mergeCell ref="J288:N288"/>
    <mergeCell ref="O288:T288"/>
    <mergeCell ref="B281:E281"/>
    <mergeCell ref="B282:E282"/>
    <mergeCell ref="B283:J283"/>
    <mergeCell ref="M283:T283"/>
    <mergeCell ref="B285:T285"/>
    <mergeCell ref="B286:C286"/>
    <mergeCell ref="G286:I286"/>
    <mergeCell ref="L286:M286"/>
    <mergeCell ref="N286:Q286"/>
    <mergeCell ref="C296:D296"/>
    <mergeCell ref="C297:D297"/>
    <mergeCell ref="C298:D298"/>
    <mergeCell ref="B299:D299"/>
    <mergeCell ref="B300:E300"/>
    <mergeCell ref="B301:T301"/>
    <mergeCell ref="C290:D290"/>
    <mergeCell ref="B291:T291"/>
    <mergeCell ref="C292:D292"/>
    <mergeCell ref="C293:D293"/>
    <mergeCell ref="C294:D294"/>
    <mergeCell ref="C295:D295"/>
    <mergeCell ref="C308:D308"/>
    <mergeCell ref="B309:D309"/>
    <mergeCell ref="B310:E310"/>
    <mergeCell ref="B311:T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B320:T320"/>
    <mergeCell ref="B321:C321"/>
    <mergeCell ref="G321:I321"/>
    <mergeCell ref="L321:M321"/>
    <mergeCell ref="N321:Q321"/>
    <mergeCell ref="E322:F322"/>
    <mergeCell ref="L322:M322"/>
    <mergeCell ref="N322:T322"/>
    <mergeCell ref="B314:D314"/>
    <mergeCell ref="B315:E315"/>
    <mergeCell ref="B316:E316"/>
    <mergeCell ref="B317:E317"/>
    <mergeCell ref="B318:E318"/>
    <mergeCell ref="M319:T319"/>
    <mergeCell ref="B326:T326"/>
    <mergeCell ref="C329:D329"/>
    <mergeCell ref="C330:D330"/>
    <mergeCell ref="C331:D331"/>
    <mergeCell ref="C332:D332"/>
    <mergeCell ref="B333:D333"/>
    <mergeCell ref="C323:D324"/>
    <mergeCell ref="E323:E324"/>
    <mergeCell ref="F323:H323"/>
    <mergeCell ref="J323:N323"/>
    <mergeCell ref="O323:T323"/>
    <mergeCell ref="C325:D325"/>
    <mergeCell ref="C341:D341"/>
    <mergeCell ref="C342:D342"/>
    <mergeCell ref="B343:D343"/>
    <mergeCell ref="B344:E344"/>
    <mergeCell ref="B345:T345"/>
    <mergeCell ref="B334:E334"/>
    <mergeCell ref="B335:T335"/>
    <mergeCell ref="C336:D336"/>
    <mergeCell ref="C337:D337"/>
    <mergeCell ref="C338:D338"/>
    <mergeCell ref="C339:D339"/>
    <mergeCell ref="B364:E364"/>
    <mergeCell ref="C144:D144"/>
    <mergeCell ref="C145:D145"/>
    <mergeCell ref="C327:D327"/>
    <mergeCell ref="C328:D328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C346:D346"/>
    <mergeCell ref="C347:D347"/>
    <mergeCell ref="B348:D348"/>
    <mergeCell ref="B349:E349"/>
    <mergeCell ref="B350:E350"/>
    <mergeCell ref="B351:E351"/>
    <mergeCell ref="C340:D340"/>
  </mergeCells>
  <pageMargins left="0" right="0" top="0" bottom="0" header="0.31496062992125984" footer="0.31496062992125984"/>
  <pageSetup paperSize="9" scale="75" orientation="landscape" r:id="rId1"/>
  <rowBreaks count="10" manualBreakCount="10">
    <brk id="34" max="16383" man="1"/>
    <brk id="68" max="16383" man="1"/>
    <brk id="102" max="16383" man="1"/>
    <brk id="135" max="16383" man="1"/>
    <brk id="173" max="16383" man="1"/>
    <brk id="181" max="16383" man="1"/>
    <brk id="215" max="16383" man="1"/>
    <brk id="249" max="16383" man="1"/>
    <brk id="282" max="16383" man="1"/>
    <brk id="3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нормы</vt:lpstr>
      <vt:lpstr>расчет сентябрь</vt:lpstr>
      <vt:lpstr>расчет весна</vt:lpstr>
      <vt:lpstr>меню 1-4 класс</vt:lpstr>
      <vt:lpstr>меню 5-11класс</vt:lpstr>
      <vt:lpstr>нормы!_Hlk99779280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2024-11-08T07:31:55Z</cp:lastPrinted>
  <dcterms:created xsi:type="dcterms:W3CDTF">2015-06-05T18:19:34Z</dcterms:created>
  <dcterms:modified xsi:type="dcterms:W3CDTF">2025-04-09T06:00:19Z</dcterms:modified>
</cp:coreProperties>
</file>